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aqar\Desktop\"/>
    </mc:Choice>
  </mc:AlternateContent>
  <xr:revisionPtr revIDLastSave="0" documentId="13_ncr:1_{85DA3B7C-0CF5-4823-9DA8-3DEFA501BC60}" xr6:coauthVersionLast="47" xr6:coauthVersionMax="47" xr10:uidLastSave="{00000000-0000-0000-0000-000000000000}"/>
  <bookViews>
    <workbookView xWindow="20370" yWindow="-120" windowWidth="29040" windowHeight="15840" tabRatio="853" activeTab="1" xr2:uid="{00000000-000D-0000-FFFF-FFFF00000000}"/>
  </bookViews>
  <sheets>
    <sheet name="PROJECT SUMMARY" sheetId="1" r:id="rId1"/>
    <sheet name="BASE BID" sheetId="6" r:id="rId2"/>
    <sheet name="CARRIAGE HOUSE" sheetId="7" r:id="rId3"/>
  </sheets>
  <externalReferences>
    <externalReference r:id="rId4"/>
  </externalReferences>
  <definedNames>
    <definedName name="_xlnm._FilterDatabase" localSheetId="1" hidden="1">'BASE BID'!$D$144:$O$398</definedName>
    <definedName name="_xlnm._FilterDatabase" localSheetId="2" hidden="1">'CARRIAGE HOUSE'!$D$16:$O$236</definedName>
    <definedName name="_xlnm.Print_Area" localSheetId="1">'BASE BID'!$A$1:$P$12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10" i="6" l="1"/>
  <c r="E65" i="7"/>
  <c r="E64" i="7"/>
  <c r="E63" i="7"/>
  <c r="A20" i="7"/>
  <c r="A21" i="7"/>
  <c r="A23" i="7"/>
  <c r="A24" i="7"/>
  <c r="A29" i="7"/>
  <c r="A30" i="7"/>
  <c r="A32" i="7"/>
  <c r="A33" i="7"/>
  <c r="A36" i="7"/>
  <c r="A37" i="7"/>
  <c r="A39" i="7"/>
  <c r="A40" i="7"/>
  <c r="A41" i="7"/>
  <c r="A42" i="7"/>
  <c r="A45" i="7"/>
  <c r="A46" i="7"/>
  <c r="A47" i="7"/>
  <c r="A48" i="7"/>
  <c r="A51" i="7"/>
  <c r="A52" i="7"/>
  <c r="A54" i="7"/>
  <c r="A55" i="7"/>
  <c r="A58" i="7"/>
  <c r="A59" i="7"/>
  <c r="A62" i="7"/>
  <c r="A66" i="7"/>
  <c r="A67" i="7"/>
  <c r="A69" i="7"/>
  <c r="A70" i="7"/>
  <c r="A71" i="7"/>
  <c r="A72" i="7"/>
  <c r="A78" i="7"/>
  <c r="A79" i="7"/>
  <c r="A84" i="7"/>
  <c r="A85" i="7"/>
  <c r="A88" i="7"/>
  <c r="A89" i="7"/>
  <c r="A92" i="7"/>
  <c r="A93" i="7"/>
  <c r="A95" i="7"/>
  <c r="A96" i="7"/>
  <c r="A97" i="7"/>
  <c r="A98" i="7"/>
  <c r="A109" i="7"/>
  <c r="A110" i="7"/>
  <c r="A112" i="7"/>
  <c r="A113" i="7"/>
  <c r="A117" i="7"/>
  <c r="A118" i="7"/>
  <c r="A119" i="7"/>
  <c r="A120" i="7"/>
  <c r="A121" i="7"/>
  <c r="A129" i="7"/>
  <c r="A130" i="7"/>
  <c r="A136" i="7"/>
  <c r="A140" i="7"/>
  <c r="A141" i="7"/>
  <c r="A144" i="7"/>
  <c r="A147" i="7"/>
  <c r="A148" i="7"/>
  <c r="A150" i="7"/>
  <c r="A151" i="7"/>
  <c r="A153" i="7"/>
  <c r="A154" i="7"/>
  <c r="A158" i="7"/>
  <c r="A159" i="7"/>
  <c r="A161" i="7"/>
  <c r="A162" i="7"/>
  <c r="A164" i="7"/>
  <c r="A165" i="7"/>
  <c r="A167" i="7"/>
  <c r="A170" i="7"/>
  <c r="A171" i="7"/>
  <c r="A172" i="7"/>
  <c r="A176" i="7"/>
  <c r="A181" i="7"/>
  <c r="A182" i="7"/>
  <c r="A183" i="7"/>
  <c r="A188" i="7"/>
  <c r="A189" i="7"/>
  <c r="A190" i="7"/>
  <c r="A192" i="7"/>
  <c r="A194" i="7"/>
  <c r="A199" i="7"/>
  <c r="A202" i="7"/>
  <c r="A206" i="7"/>
  <c r="A207" i="7"/>
  <c r="A208" i="7"/>
  <c r="A215" i="7"/>
  <c r="A217" i="7"/>
  <c r="A218" i="7"/>
  <c r="A219" i="7"/>
  <c r="A221" i="7"/>
  <c r="A222" i="7"/>
  <c r="A223" i="7"/>
  <c r="A225" i="7"/>
  <c r="A227" i="7"/>
  <c r="A228" i="7"/>
  <c r="A229" i="7"/>
  <c r="A230" i="7"/>
  <c r="A233" i="7"/>
  <c r="A235" i="7"/>
  <c r="E220" i="7"/>
  <c r="E139" i="7"/>
  <c r="E138" i="7"/>
  <c r="E137" i="7"/>
  <c r="E135" i="7"/>
  <c r="E134" i="7"/>
  <c r="E125" i="7"/>
  <c r="E126" i="7"/>
  <c r="E123" i="7"/>
  <c r="F145" i="7"/>
  <c r="G145" i="7" s="1"/>
  <c r="F146" i="7"/>
  <c r="G146" i="7" s="1"/>
  <c r="F178" i="7"/>
  <c r="G178" i="7" s="1"/>
  <c r="F179" i="7"/>
  <c r="G179" i="7" s="1"/>
  <c r="F180" i="7"/>
  <c r="G180" i="7" s="1"/>
  <c r="E152" i="7"/>
  <c r="E83" i="7"/>
  <c r="E82" i="7"/>
  <c r="E87" i="7"/>
  <c r="F44" i="7"/>
  <c r="G44" i="7" s="1"/>
  <c r="F43" i="7"/>
  <c r="G43" i="7" s="1"/>
  <c r="F175" i="7"/>
  <c r="G175" i="7" s="1"/>
  <c r="F174" i="7"/>
  <c r="G174" i="7" s="1"/>
  <c r="F226" i="7"/>
  <c r="G226" i="7" s="1"/>
  <c r="F156" i="7"/>
  <c r="G156" i="7" s="1"/>
  <c r="N156" i="7" s="1"/>
  <c r="F157" i="7"/>
  <c r="G157" i="7" s="1"/>
  <c r="J157" i="7" s="1"/>
  <c r="L157" i="7" s="1"/>
  <c r="E53" i="7"/>
  <c r="E61" i="7"/>
  <c r="E60" i="7"/>
  <c r="F57" i="7"/>
  <c r="G57" i="7" s="1"/>
  <c r="J57" i="7" s="1"/>
  <c r="L57" i="7" s="1"/>
  <c r="E90" i="7"/>
  <c r="F90" i="7"/>
  <c r="E94" i="7"/>
  <c r="F87" i="7"/>
  <c r="F86" i="7"/>
  <c r="G86" i="7" s="1"/>
  <c r="E56" i="7"/>
  <c r="E50" i="7"/>
  <c r="E49" i="7"/>
  <c r="F50" i="7"/>
  <c r="E35" i="7"/>
  <c r="F35" i="7"/>
  <c r="E34" i="7"/>
  <c r="F34" i="7"/>
  <c r="E38" i="7"/>
  <c r="E31" i="7"/>
  <c r="E28" i="7"/>
  <c r="F28" i="7"/>
  <c r="E27" i="7"/>
  <c r="E26" i="7"/>
  <c r="E25" i="7"/>
  <c r="F26" i="7"/>
  <c r="E22" i="7"/>
  <c r="E19" i="7"/>
  <c r="E18" i="7"/>
  <c r="E17" i="7"/>
  <c r="F236" i="7"/>
  <c r="G236" i="7" s="1"/>
  <c r="F234" i="7"/>
  <c r="F232" i="7"/>
  <c r="G232" i="7" s="1"/>
  <c r="F231" i="7"/>
  <c r="G231" i="7" s="1"/>
  <c r="F224" i="7"/>
  <c r="G224" i="7" s="1"/>
  <c r="F220" i="7"/>
  <c r="G220" i="7" s="1"/>
  <c r="F216" i="7"/>
  <c r="G216" i="7" s="1"/>
  <c r="N216" i="7" s="1"/>
  <c r="F214" i="7"/>
  <c r="G214" i="7" s="1"/>
  <c r="F213" i="7"/>
  <c r="G213" i="7" s="1"/>
  <c r="F212" i="7"/>
  <c r="G212" i="7" s="1"/>
  <c r="F211" i="7"/>
  <c r="G211" i="7" s="1"/>
  <c r="F210" i="7"/>
  <c r="G210" i="7" s="1"/>
  <c r="J210" i="7" s="1"/>
  <c r="L210" i="7" s="1"/>
  <c r="F209" i="7"/>
  <c r="G209" i="7" s="1"/>
  <c r="N209" i="7" s="1"/>
  <c r="F205" i="7"/>
  <c r="G205" i="7" s="1"/>
  <c r="F204" i="7"/>
  <c r="G204" i="7" s="1"/>
  <c r="F201" i="7"/>
  <c r="G201" i="7" s="1"/>
  <c r="F200" i="7"/>
  <c r="G200" i="7" s="1"/>
  <c r="F203" i="7"/>
  <c r="G203" i="7" s="1"/>
  <c r="F198" i="7"/>
  <c r="G198" i="7" s="1"/>
  <c r="J198" i="7" s="1"/>
  <c r="L198" i="7" s="1"/>
  <c r="F197" i="7"/>
  <c r="G197" i="7" s="1"/>
  <c r="J197" i="7" s="1"/>
  <c r="L197" i="7" s="1"/>
  <c r="F196" i="7"/>
  <c r="G196" i="7" s="1"/>
  <c r="J196" i="7" s="1"/>
  <c r="L196" i="7" s="1"/>
  <c r="F195" i="7"/>
  <c r="G195" i="7" s="1"/>
  <c r="J195" i="7" s="1"/>
  <c r="L195" i="7" s="1"/>
  <c r="F193" i="7"/>
  <c r="G193" i="7" s="1"/>
  <c r="F191" i="7"/>
  <c r="G191" i="7" s="1"/>
  <c r="F187" i="7"/>
  <c r="G187" i="7" s="1"/>
  <c r="F186" i="7"/>
  <c r="G186" i="7" s="1"/>
  <c r="F185" i="7"/>
  <c r="G185" i="7" s="1"/>
  <c r="F184" i="7"/>
  <c r="G184" i="7" s="1"/>
  <c r="J184" i="7" s="1"/>
  <c r="L184" i="7" s="1"/>
  <c r="F177" i="7"/>
  <c r="G177" i="7" s="1"/>
  <c r="F173" i="7"/>
  <c r="G173" i="7" s="1"/>
  <c r="F169" i="7"/>
  <c r="G169" i="7" s="1"/>
  <c r="F168" i="7"/>
  <c r="G168" i="7" s="1"/>
  <c r="N168" i="7" s="1"/>
  <c r="F166" i="7"/>
  <c r="G166" i="7" s="1"/>
  <c r="F163" i="7"/>
  <c r="G163" i="7" s="1"/>
  <c r="J163" i="7" s="1"/>
  <c r="F160" i="7"/>
  <c r="G160" i="7" s="1"/>
  <c r="F155" i="7"/>
  <c r="G155" i="7" s="1"/>
  <c r="F152" i="7"/>
  <c r="F149" i="7"/>
  <c r="G149" i="7" s="1"/>
  <c r="N149" i="7" s="1"/>
  <c r="F143" i="7"/>
  <c r="G143" i="7" s="1"/>
  <c r="N143" i="7" s="1"/>
  <c r="F142" i="7"/>
  <c r="G142" i="7" s="1"/>
  <c r="J142" i="7" s="1"/>
  <c r="L142" i="7" s="1"/>
  <c r="F139" i="7"/>
  <c r="G139" i="7" s="1"/>
  <c r="F138" i="7"/>
  <c r="F137" i="7"/>
  <c r="F135" i="7"/>
  <c r="F134" i="7"/>
  <c r="F133" i="7"/>
  <c r="G133" i="7" s="1"/>
  <c r="F132" i="7"/>
  <c r="G132" i="7" s="1"/>
  <c r="J132" i="7" s="1"/>
  <c r="L132" i="7" s="1"/>
  <c r="F131" i="7"/>
  <c r="G131" i="7" s="1"/>
  <c r="J131" i="7" s="1"/>
  <c r="L131" i="7" s="1"/>
  <c r="F128" i="7"/>
  <c r="G128" i="7" s="1"/>
  <c r="J128" i="7" s="1"/>
  <c r="L128" i="7" s="1"/>
  <c r="F127" i="7"/>
  <c r="G127" i="7" s="1"/>
  <c r="J127" i="7" s="1"/>
  <c r="L127" i="7" s="1"/>
  <c r="F126" i="7"/>
  <c r="F125" i="7"/>
  <c r="F124" i="7"/>
  <c r="F123" i="7"/>
  <c r="F122" i="7"/>
  <c r="F116" i="7"/>
  <c r="G116" i="7" s="1"/>
  <c r="F115" i="7"/>
  <c r="G115" i="7" s="1"/>
  <c r="F114" i="7"/>
  <c r="G114" i="7" s="1"/>
  <c r="F111" i="7"/>
  <c r="G111" i="7" s="1"/>
  <c r="F108" i="7"/>
  <c r="G108" i="7" s="1"/>
  <c r="F107" i="7"/>
  <c r="G107" i="7" s="1"/>
  <c r="F106" i="7"/>
  <c r="G106" i="7" s="1"/>
  <c r="F105" i="7"/>
  <c r="G105" i="7" s="1"/>
  <c r="N105" i="7" s="1"/>
  <c r="F104" i="7"/>
  <c r="G104" i="7" s="1"/>
  <c r="F103" i="7"/>
  <c r="G103" i="7" s="1"/>
  <c r="F102" i="7"/>
  <c r="G102" i="7" s="1"/>
  <c r="F101" i="7"/>
  <c r="G101" i="7" s="1"/>
  <c r="F100" i="7"/>
  <c r="G100" i="7" s="1"/>
  <c r="F99" i="7"/>
  <c r="G99" i="7" s="1"/>
  <c r="F94" i="7"/>
  <c r="F83" i="7"/>
  <c r="F82" i="7"/>
  <c r="F81" i="7"/>
  <c r="G81" i="7" s="1"/>
  <c r="F80" i="7"/>
  <c r="G80" i="7" s="1"/>
  <c r="F77" i="7"/>
  <c r="G77" i="7" s="1"/>
  <c r="F76" i="7"/>
  <c r="G76" i="7" s="1"/>
  <c r="N76" i="7" s="1"/>
  <c r="F75" i="7"/>
  <c r="G75" i="7" s="1"/>
  <c r="F74" i="7"/>
  <c r="G74" i="7" s="1"/>
  <c r="F73" i="7"/>
  <c r="G73" i="7" s="1"/>
  <c r="F68" i="7"/>
  <c r="G68" i="7" s="1"/>
  <c r="F65" i="7"/>
  <c r="G65" i="7" s="1"/>
  <c r="F64" i="7"/>
  <c r="G64" i="7" s="1"/>
  <c r="F63" i="7"/>
  <c r="G63" i="7" s="1"/>
  <c r="F61" i="7"/>
  <c r="F60" i="7"/>
  <c r="F56" i="7"/>
  <c r="F53" i="7"/>
  <c r="F49" i="7"/>
  <c r="F38" i="7"/>
  <c r="F31" i="7"/>
  <c r="F27" i="7"/>
  <c r="F25" i="7"/>
  <c r="F22" i="7"/>
  <c r="F19" i="7"/>
  <c r="F18" i="7"/>
  <c r="F17" i="7"/>
  <c r="A16" i="7"/>
  <c r="A14" i="7"/>
  <c r="B9" i="7"/>
  <c r="B8" i="7"/>
  <c r="A8" i="7"/>
  <c r="B7" i="7"/>
  <c r="A7" i="7"/>
  <c r="H5" i="7"/>
  <c r="A5" i="7"/>
  <c r="A20" i="6"/>
  <c r="A21" i="6"/>
  <c r="A23" i="6"/>
  <c r="A24" i="6"/>
  <c r="A27" i="6"/>
  <c r="A28" i="6"/>
  <c r="A34" i="6"/>
  <c r="A35" i="6"/>
  <c r="A37" i="6"/>
  <c r="A38" i="6"/>
  <c r="A39" i="6"/>
  <c r="A40" i="6"/>
  <c r="A42" i="6"/>
  <c r="A43" i="6"/>
  <c r="A44" i="6"/>
  <c r="A45" i="6"/>
  <c r="A47" i="6"/>
  <c r="A48" i="6"/>
  <c r="A50" i="6"/>
  <c r="A51" i="6"/>
  <c r="A54" i="6"/>
  <c r="A55" i="6"/>
  <c r="A58" i="6"/>
  <c r="A59" i="6"/>
  <c r="A63" i="6"/>
  <c r="A64" i="6"/>
  <c r="A66" i="6"/>
  <c r="A67" i="6"/>
  <c r="A72" i="6"/>
  <c r="A73" i="6"/>
  <c r="A74" i="6"/>
  <c r="A75" i="6"/>
  <c r="A84" i="6"/>
  <c r="A85" i="6"/>
  <c r="A92" i="6"/>
  <c r="A93" i="6"/>
  <c r="A96" i="6"/>
  <c r="A97" i="6"/>
  <c r="A98" i="6"/>
  <c r="A99" i="6"/>
  <c r="A117" i="6"/>
  <c r="A118" i="6"/>
  <c r="A120" i="6"/>
  <c r="A121" i="6"/>
  <c r="A125" i="6"/>
  <c r="A126" i="6"/>
  <c r="A139" i="6"/>
  <c r="A141" i="6"/>
  <c r="A142" i="6"/>
  <c r="A143" i="6"/>
  <c r="A144" i="6"/>
  <c r="A155" i="6"/>
  <c r="A166" i="6"/>
  <c r="A177" i="6"/>
  <c r="A188" i="6"/>
  <c r="A196" i="6"/>
  <c r="A204" i="6"/>
  <c r="A213" i="6"/>
  <c r="A222" i="6"/>
  <c r="A223" i="6"/>
  <c r="A227" i="6"/>
  <c r="A234" i="6"/>
  <c r="A242" i="6"/>
  <c r="A250" i="6"/>
  <c r="A258" i="6"/>
  <c r="A259" i="6"/>
  <c r="A263" i="6"/>
  <c r="A264" i="6"/>
  <c r="A268" i="6"/>
  <c r="A269" i="6"/>
  <c r="A271" i="6"/>
  <c r="A272" i="6"/>
  <c r="A274" i="6"/>
  <c r="A275" i="6"/>
  <c r="A277" i="6"/>
  <c r="A278" i="6"/>
  <c r="A280" i="6"/>
  <c r="A281" i="6"/>
  <c r="A283" i="6"/>
  <c r="A284" i="6"/>
  <c r="A287" i="6"/>
  <c r="A288" i="6"/>
  <c r="A290" i="6"/>
  <c r="A293" i="6"/>
  <c r="A294" i="6"/>
  <c r="A295" i="6"/>
  <c r="A300" i="6"/>
  <c r="A301" i="6"/>
  <c r="A302" i="6"/>
  <c r="A309" i="6"/>
  <c r="A310" i="6"/>
  <c r="A311" i="6"/>
  <c r="A314" i="6"/>
  <c r="A332" i="6"/>
  <c r="A336" i="6"/>
  <c r="A337" i="6"/>
  <c r="A338" i="6"/>
  <c r="A345" i="6"/>
  <c r="A347" i="6"/>
  <c r="A348" i="6"/>
  <c r="A349" i="6"/>
  <c r="A351" i="6"/>
  <c r="A352" i="6"/>
  <c r="A353" i="6"/>
  <c r="A355" i="6"/>
  <c r="A356" i="6"/>
  <c r="A357" i="6"/>
  <c r="A358" i="6"/>
  <c r="A360" i="6"/>
  <c r="A363" i="6"/>
  <c r="A365" i="6"/>
  <c r="A367" i="6"/>
  <c r="A368" i="6"/>
  <c r="A369" i="6"/>
  <c r="A370" i="6"/>
  <c r="A374" i="6"/>
  <c r="A375" i="6"/>
  <c r="A379" i="6"/>
  <c r="A380" i="6"/>
  <c r="A382" i="6"/>
  <c r="A383" i="6"/>
  <c r="A387" i="6"/>
  <c r="A388" i="6"/>
  <c r="A391" i="6"/>
  <c r="A392" i="6"/>
  <c r="A397" i="6"/>
  <c r="A399" i="6"/>
  <c r="A400" i="6"/>
  <c r="A402" i="6"/>
  <c r="A403" i="6"/>
  <c r="A408" i="6"/>
  <c r="A409" i="6"/>
  <c r="H5" i="6"/>
  <c r="A16" i="6"/>
  <c r="F411" i="6"/>
  <c r="G411" i="6" s="1"/>
  <c r="J411" i="6" s="1"/>
  <c r="L411" i="6" s="1"/>
  <c r="F410" i="6"/>
  <c r="F407" i="6"/>
  <c r="G407" i="6" s="1"/>
  <c r="N407" i="6" s="1"/>
  <c r="F406" i="6"/>
  <c r="G406" i="6" s="1"/>
  <c r="N406" i="6" s="1"/>
  <c r="F405" i="6"/>
  <c r="G405" i="6" s="1"/>
  <c r="N405" i="6" s="1"/>
  <c r="F404" i="6"/>
  <c r="G404" i="6" s="1"/>
  <c r="N404" i="6" s="1"/>
  <c r="F401" i="6"/>
  <c r="F398" i="6"/>
  <c r="G398" i="6" s="1"/>
  <c r="N398" i="6" s="1"/>
  <c r="F396" i="6"/>
  <c r="G396" i="6" s="1"/>
  <c r="N396" i="6" s="1"/>
  <c r="F395" i="6"/>
  <c r="F394" i="6"/>
  <c r="G394" i="6" s="1"/>
  <c r="J394" i="6" s="1"/>
  <c r="L394" i="6" s="1"/>
  <c r="F393" i="6"/>
  <c r="F390" i="6"/>
  <c r="G390" i="6" s="1"/>
  <c r="N390" i="6" s="1"/>
  <c r="F389" i="6"/>
  <c r="G389" i="6" s="1"/>
  <c r="J389" i="6" s="1"/>
  <c r="L389" i="6" s="1"/>
  <c r="F386" i="6"/>
  <c r="G386" i="6" s="1"/>
  <c r="N386" i="6" s="1"/>
  <c r="F385" i="6"/>
  <c r="F384" i="6"/>
  <c r="F381" i="6"/>
  <c r="G381" i="6" s="1"/>
  <c r="J381" i="6" s="1"/>
  <c r="L381" i="6" s="1"/>
  <c r="F378" i="6"/>
  <c r="F377" i="6"/>
  <c r="F376" i="6"/>
  <c r="F373" i="6"/>
  <c r="G373" i="6" s="1"/>
  <c r="J373" i="6" s="1"/>
  <c r="L373" i="6" s="1"/>
  <c r="F372" i="6"/>
  <c r="F371" i="6"/>
  <c r="F366" i="6"/>
  <c r="G366" i="6" s="1"/>
  <c r="J366" i="6" s="1"/>
  <c r="L366" i="6" s="1"/>
  <c r="F364" i="6"/>
  <c r="F362" i="6"/>
  <c r="G362" i="6" s="1"/>
  <c r="N362" i="6" s="1"/>
  <c r="F361" i="6"/>
  <c r="G361" i="6" s="1"/>
  <c r="J361" i="6" s="1"/>
  <c r="L361" i="6" s="1"/>
  <c r="F359" i="6"/>
  <c r="F354" i="6"/>
  <c r="G354" i="6" s="1"/>
  <c r="N354" i="6" s="1"/>
  <c r="F350" i="6"/>
  <c r="G350" i="6" s="1"/>
  <c r="J350" i="6" s="1"/>
  <c r="L350" i="6" s="1"/>
  <c r="F346" i="6"/>
  <c r="G346" i="6" s="1"/>
  <c r="F344" i="6"/>
  <c r="G344" i="6" s="1"/>
  <c r="N344" i="6" s="1"/>
  <c r="F343" i="6"/>
  <c r="G343" i="6" s="1"/>
  <c r="J343" i="6" s="1"/>
  <c r="L343" i="6" s="1"/>
  <c r="F342" i="6"/>
  <c r="G342" i="6" s="1"/>
  <c r="N342" i="6" s="1"/>
  <c r="F341" i="6"/>
  <c r="G341" i="6" s="1"/>
  <c r="N341" i="6" s="1"/>
  <c r="F340" i="6"/>
  <c r="G340" i="6" s="1"/>
  <c r="N340" i="6" s="1"/>
  <c r="F339" i="6"/>
  <c r="G339" i="6" s="1"/>
  <c r="N339" i="6" s="1"/>
  <c r="F335" i="6"/>
  <c r="G335" i="6" s="1"/>
  <c r="N335" i="6" s="1"/>
  <c r="F334" i="6"/>
  <c r="G334" i="6" s="1"/>
  <c r="N334" i="6" s="1"/>
  <c r="F333" i="6"/>
  <c r="G333" i="6" s="1"/>
  <c r="N333" i="6" s="1"/>
  <c r="F331" i="6"/>
  <c r="G331" i="6" s="1"/>
  <c r="N331" i="6" s="1"/>
  <c r="F330" i="6"/>
  <c r="G330" i="6" s="1"/>
  <c r="N330" i="6" s="1"/>
  <c r="F329" i="6"/>
  <c r="G329" i="6" s="1"/>
  <c r="J329" i="6" s="1"/>
  <c r="L329" i="6" s="1"/>
  <c r="F328" i="6"/>
  <c r="G328" i="6" s="1"/>
  <c r="F327" i="6"/>
  <c r="G327" i="6" s="1"/>
  <c r="N327" i="6" s="1"/>
  <c r="F326" i="6"/>
  <c r="G326" i="6" s="1"/>
  <c r="N326" i="6" s="1"/>
  <c r="F325" i="6"/>
  <c r="G325" i="6" s="1"/>
  <c r="N325" i="6" s="1"/>
  <c r="F324" i="6"/>
  <c r="G324" i="6" s="1"/>
  <c r="N324" i="6" s="1"/>
  <c r="F323" i="6"/>
  <c r="G323" i="6" s="1"/>
  <c r="J323" i="6" s="1"/>
  <c r="L323" i="6" s="1"/>
  <c r="F322" i="6"/>
  <c r="G322" i="6" s="1"/>
  <c r="N322" i="6" s="1"/>
  <c r="F321" i="6"/>
  <c r="G321" i="6" s="1"/>
  <c r="N321" i="6" s="1"/>
  <c r="F320" i="6"/>
  <c r="G320" i="6" s="1"/>
  <c r="F319" i="6"/>
  <c r="G319" i="6" s="1"/>
  <c r="N319" i="6" s="1"/>
  <c r="F318" i="6"/>
  <c r="G318" i="6" s="1"/>
  <c r="N318" i="6" s="1"/>
  <c r="F317" i="6"/>
  <c r="G317" i="6" s="1"/>
  <c r="F316" i="6"/>
  <c r="G316" i="6" s="1"/>
  <c r="N316" i="6" s="1"/>
  <c r="F315" i="6"/>
  <c r="G315" i="6" s="1"/>
  <c r="J315" i="6" s="1"/>
  <c r="L315" i="6" s="1"/>
  <c r="F313" i="6"/>
  <c r="G313" i="6" s="1"/>
  <c r="J313" i="6" s="1"/>
  <c r="L313" i="6" s="1"/>
  <c r="F312" i="6"/>
  <c r="G312" i="6" s="1"/>
  <c r="F308" i="6"/>
  <c r="G308" i="6" s="1"/>
  <c r="N308" i="6" s="1"/>
  <c r="F307" i="6"/>
  <c r="G307" i="6" s="1"/>
  <c r="J307" i="6" s="1"/>
  <c r="L307" i="6" s="1"/>
  <c r="F306" i="6"/>
  <c r="G306" i="6" s="1"/>
  <c r="J306" i="6" s="1"/>
  <c r="L306" i="6" s="1"/>
  <c r="F305" i="6"/>
  <c r="G305" i="6" s="1"/>
  <c r="N305" i="6" s="1"/>
  <c r="F304" i="6"/>
  <c r="G304" i="6" s="1"/>
  <c r="N304" i="6" s="1"/>
  <c r="F303" i="6"/>
  <c r="G303" i="6" s="1"/>
  <c r="F299" i="6"/>
  <c r="G299" i="6" s="1"/>
  <c r="J299" i="6" s="1"/>
  <c r="L299" i="6" s="1"/>
  <c r="F298" i="6"/>
  <c r="G298" i="6" s="1"/>
  <c r="N298" i="6" s="1"/>
  <c r="F297" i="6"/>
  <c r="G297" i="6" s="1"/>
  <c r="J297" i="6" s="1"/>
  <c r="L297" i="6" s="1"/>
  <c r="F296" i="6"/>
  <c r="G296" i="6" s="1"/>
  <c r="J296" i="6" s="1"/>
  <c r="L296" i="6" s="1"/>
  <c r="F292" i="6"/>
  <c r="G292" i="6" s="1"/>
  <c r="J292" i="6" s="1"/>
  <c r="L292" i="6" s="1"/>
  <c r="F291" i="6"/>
  <c r="G291" i="6" s="1"/>
  <c r="N291" i="6" s="1"/>
  <c r="F289" i="6"/>
  <c r="G289" i="6" s="1"/>
  <c r="J289" i="6" s="1"/>
  <c r="L289" i="6" s="1"/>
  <c r="F286" i="6"/>
  <c r="F285" i="6"/>
  <c r="F282" i="6"/>
  <c r="G282" i="6" s="1"/>
  <c r="J282" i="6" s="1"/>
  <c r="L282" i="6" s="1"/>
  <c r="F279" i="6"/>
  <c r="G279" i="6" s="1"/>
  <c r="J279" i="6" s="1"/>
  <c r="L279" i="6" s="1"/>
  <c r="F276" i="6"/>
  <c r="G276" i="6" s="1"/>
  <c r="F273" i="6"/>
  <c r="F270" i="6"/>
  <c r="F267" i="6"/>
  <c r="G267" i="6" s="1"/>
  <c r="N267" i="6" s="1"/>
  <c r="F266" i="6"/>
  <c r="F265" i="6"/>
  <c r="G265" i="6" s="1"/>
  <c r="N265" i="6" s="1"/>
  <c r="F262" i="6"/>
  <c r="F261" i="6"/>
  <c r="F260" i="6"/>
  <c r="F257" i="6"/>
  <c r="F256" i="6"/>
  <c r="F255" i="6"/>
  <c r="F254" i="6"/>
  <c r="F253" i="6"/>
  <c r="F252" i="6"/>
  <c r="F249" i="6"/>
  <c r="F248" i="6"/>
  <c r="F247" i="6"/>
  <c r="F246" i="6"/>
  <c r="F245" i="6"/>
  <c r="F244" i="6"/>
  <c r="F241" i="6"/>
  <c r="F240" i="6"/>
  <c r="F239" i="6"/>
  <c r="F238" i="6"/>
  <c r="F237" i="6"/>
  <c r="F236" i="6"/>
  <c r="F233" i="6"/>
  <c r="F232" i="6"/>
  <c r="F231" i="6"/>
  <c r="F230" i="6"/>
  <c r="F229" i="6"/>
  <c r="F226" i="6"/>
  <c r="F225" i="6"/>
  <c r="F224" i="6"/>
  <c r="F221" i="6"/>
  <c r="F220" i="6"/>
  <c r="F219" i="6"/>
  <c r="F218" i="6"/>
  <c r="F217" i="6"/>
  <c r="F216" i="6"/>
  <c r="F215" i="6"/>
  <c r="F212" i="6"/>
  <c r="F211" i="6"/>
  <c r="F210" i="6"/>
  <c r="F209" i="6"/>
  <c r="F208" i="6"/>
  <c r="F207" i="6"/>
  <c r="F206" i="6"/>
  <c r="F203" i="6"/>
  <c r="F202" i="6"/>
  <c r="F201" i="6"/>
  <c r="F200" i="6"/>
  <c r="F199" i="6"/>
  <c r="F198" i="6"/>
  <c r="F195" i="6"/>
  <c r="F194" i="6"/>
  <c r="F193" i="6"/>
  <c r="F192" i="6"/>
  <c r="F191" i="6"/>
  <c r="F190" i="6"/>
  <c r="F187" i="6"/>
  <c r="F186" i="6"/>
  <c r="F185" i="6"/>
  <c r="F184" i="6"/>
  <c r="F183" i="6"/>
  <c r="F182" i="6"/>
  <c r="F181" i="6"/>
  <c r="F180" i="6"/>
  <c r="F179" i="6"/>
  <c r="F176" i="6"/>
  <c r="F175" i="6"/>
  <c r="F174" i="6"/>
  <c r="F173" i="6"/>
  <c r="F172" i="6"/>
  <c r="F171" i="6"/>
  <c r="F170" i="6"/>
  <c r="F169" i="6"/>
  <c r="F168" i="6"/>
  <c r="F165" i="6"/>
  <c r="F164" i="6"/>
  <c r="F163" i="6"/>
  <c r="F162" i="6"/>
  <c r="F161" i="6"/>
  <c r="F160" i="6"/>
  <c r="F159" i="6"/>
  <c r="F158" i="6"/>
  <c r="F157" i="6"/>
  <c r="F154" i="6"/>
  <c r="F153" i="6"/>
  <c r="F152" i="6"/>
  <c r="F151" i="6"/>
  <c r="F150" i="6"/>
  <c r="F149" i="6"/>
  <c r="F148" i="6"/>
  <c r="F147" i="6"/>
  <c r="F146" i="6"/>
  <c r="F140" i="6"/>
  <c r="G140" i="6" s="1"/>
  <c r="N140" i="6" s="1"/>
  <c r="F138" i="6"/>
  <c r="G138" i="6" s="1"/>
  <c r="F137" i="6"/>
  <c r="G137" i="6" s="1"/>
  <c r="F136" i="6"/>
  <c r="G136" i="6" s="1"/>
  <c r="F135" i="6"/>
  <c r="G135" i="6" s="1"/>
  <c r="J135" i="6" s="1"/>
  <c r="L135" i="6" s="1"/>
  <c r="F134" i="6"/>
  <c r="G134" i="6" s="1"/>
  <c r="F133" i="6"/>
  <c r="G133" i="6" s="1"/>
  <c r="F132" i="6"/>
  <c r="G132" i="6" s="1"/>
  <c r="F131" i="6"/>
  <c r="G131" i="6" s="1"/>
  <c r="J131" i="6" s="1"/>
  <c r="L131" i="6" s="1"/>
  <c r="F130" i="6"/>
  <c r="G130" i="6" s="1"/>
  <c r="F129" i="6"/>
  <c r="G129" i="6" s="1"/>
  <c r="F128" i="6"/>
  <c r="G128" i="6" s="1"/>
  <c r="J128" i="6" s="1"/>
  <c r="L128" i="6" s="1"/>
  <c r="F127" i="6"/>
  <c r="G127" i="6" s="1"/>
  <c r="J127" i="6" s="1"/>
  <c r="L127" i="6" s="1"/>
  <c r="F124" i="6"/>
  <c r="G124" i="6" s="1"/>
  <c r="F123" i="6"/>
  <c r="G123" i="6" s="1"/>
  <c r="J123" i="6" s="1"/>
  <c r="L123" i="6" s="1"/>
  <c r="F122" i="6"/>
  <c r="G122" i="6" s="1"/>
  <c r="F119" i="6"/>
  <c r="G119" i="6" s="1"/>
  <c r="J119" i="6" s="1"/>
  <c r="L119" i="6" s="1"/>
  <c r="F116" i="6"/>
  <c r="G116" i="6" s="1"/>
  <c r="F115" i="6"/>
  <c r="G115" i="6" s="1"/>
  <c r="J115" i="6" s="1"/>
  <c r="L115" i="6" s="1"/>
  <c r="F114" i="6"/>
  <c r="G114" i="6" s="1"/>
  <c r="J114" i="6" s="1"/>
  <c r="L114" i="6" s="1"/>
  <c r="F113" i="6"/>
  <c r="G113" i="6" s="1"/>
  <c r="J113" i="6" s="1"/>
  <c r="L113" i="6" s="1"/>
  <c r="F112" i="6"/>
  <c r="G112" i="6" s="1"/>
  <c r="F111" i="6"/>
  <c r="G111" i="6" s="1"/>
  <c r="J111" i="6" s="1"/>
  <c r="L111" i="6" s="1"/>
  <c r="F110" i="6"/>
  <c r="G110" i="6" s="1"/>
  <c r="F109" i="6"/>
  <c r="G109" i="6" s="1"/>
  <c r="F108" i="6"/>
  <c r="G108" i="6" s="1"/>
  <c r="F107" i="6"/>
  <c r="G107" i="6" s="1"/>
  <c r="N107" i="6" s="1"/>
  <c r="F106" i="6"/>
  <c r="G106" i="6" s="1"/>
  <c r="F105" i="6"/>
  <c r="G105" i="6" s="1"/>
  <c r="N105" i="6" s="1"/>
  <c r="F104" i="6"/>
  <c r="G104" i="6" s="1"/>
  <c r="F103" i="6"/>
  <c r="G103" i="6" s="1"/>
  <c r="N103" i="6" s="1"/>
  <c r="F102" i="6"/>
  <c r="G102" i="6" s="1"/>
  <c r="F101" i="6"/>
  <c r="G101" i="6" s="1"/>
  <c r="J101" i="6" s="1"/>
  <c r="L101" i="6" s="1"/>
  <c r="F100" i="6"/>
  <c r="G100" i="6" s="1"/>
  <c r="J100" i="6" s="1"/>
  <c r="F95" i="6"/>
  <c r="F94" i="6"/>
  <c r="G94" i="6" s="1"/>
  <c r="F91" i="6"/>
  <c r="G91" i="6" s="1"/>
  <c r="J91" i="6" s="1"/>
  <c r="L91" i="6" s="1"/>
  <c r="F90" i="6"/>
  <c r="G90" i="6" s="1"/>
  <c r="F89" i="6"/>
  <c r="G89" i="6" s="1"/>
  <c r="J89" i="6" s="1"/>
  <c r="L89" i="6" s="1"/>
  <c r="F88" i="6"/>
  <c r="G88" i="6" s="1"/>
  <c r="F87" i="6"/>
  <c r="G87" i="6" s="1"/>
  <c r="J87" i="6" s="1"/>
  <c r="L87" i="6" s="1"/>
  <c r="F86" i="6"/>
  <c r="G86" i="6" s="1"/>
  <c r="F83" i="6"/>
  <c r="G83" i="6" s="1"/>
  <c r="J83" i="6" s="1"/>
  <c r="L83" i="6" s="1"/>
  <c r="F82" i="6"/>
  <c r="G82" i="6" s="1"/>
  <c r="N82" i="6" s="1"/>
  <c r="F81" i="6"/>
  <c r="F80" i="6"/>
  <c r="G80" i="6" s="1"/>
  <c r="F79" i="6"/>
  <c r="G79" i="6" s="1"/>
  <c r="J79" i="6" s="1"/>
  <c r="L79" i="6" s="1"/>
  <c r="F78" i="6"/>
  <c r="F77" i="6"/>
  <c r="G77" i="6" s="1"/>
  <c r="N77" i="6" s="1"/>
  <c r="F76" i="6"/>
  <c r="G76" i="6" s="1"/>
  <c r="F71" i="6"/>
  <c r="G71" i="6" s="1"/>
  <c r="N71" i="6" s="1"/>
  <c r="F70" i="6"/>
  <c r="G70" i="6" s="1"/>
  <c r="N70" i="6" s="1"/>
  <c r="F69" i="6"/>
  <c r="G69" i="6" s="1"/>
  <c r="N69" i="6" s="1"/>
  <c r="F68" i="6"/>
  <c r="G68" i="6" s="1"/>
  <c r="F65" i="6"/>
  <c r="G65" i="6" s="1"/>
  <c r="N65" i="6" s="1"/>
  <c r="F62" i="6"/>
  <c r="F61" i="6"/>
  <c r="F60" i="6"/>
  <c r="F57" i="6"/>
  <c r="F56" i="6"/>
  <c r="F53" i="6"/>
  <c r="F52" i="6"/>
  <c r="F49" i="6"/>
  <c r="F46" i="6"/>
  <c r="F41" i="6"/>
  <c r="G41" i="6" s="1"/>
  <c r="N41" i="6" s="1"/>
  <c r="F36" i="6"/>
  <c r="F33" i="6"/>
  <c r="F32" i="6"/>
  <c r="F31" i="6"/>
  <c r="F30" i="6"/>
  <c r="F29" i="6"/>
  <c r="F26" i="6"/>
  <c r="F25" i="6"/>
  <c r="F22" i="6"/>
  <c r="F19" i="6"/>
  <c r="G19" i="6" s="1"/>
  <c r="F18" i="6"/>
  <c r="F17" i="6"/>
  <c r="E401" i="6"/>
  <c r="E395" i="6"/>
  <c r="E393" i="6"/>
  <c r="E385" i="6"/>
  <c r="E384" i="6"/>
  <c r="E378" i="6"/>
  <c r="E377" i="6"/>
  <c r="E376" i="6"/>
  <c r="E372" i="6"/>
  <c r="E371" i="6"/>
  <c r="E364" i="6"/>
  <c r="E359" i="6"/>
  <c r="E286" i="6"/>
  <c r="E285" i="6"/>
  <c r="E273" i="6"/>
  <c r="E270" i="6"/>
  <c r="E266" i="6"/>
  <c r="E262" i="6"/>
  <c r="E261" i="6"/>
  <c r="E260" i="6"/>
  <c r="E257" i="6"/>
  <c r="E256" i="6"/>
  <c r="E255" i="6"/>
  <c r="E254" i="6"/>
  <c r="E253" i="6"/>
  <c r="E252" i="6"/>
  <c r="E249" i="6"/>
  <c r="E248" i="6"/>
  <c r="E247" i="6"/>
  <c r="E246" i="6"/>
  <c r="E245" i="6"/>
  <c r="E244" i="6"/>
  <c r="E241" i="6"/>
  <c r="E240" i="6"/>
  <c r="E239" i="6"/>
  <c r="E238" i="6"/>
  <c r="E237" i="6"/>
  <c r="E236" i="6"/>
  <c r="E233" i="6"/>
  <c r="E232" i="6"/>
  <c r="E231" i="6"/>
  <c r="E230" i="6"/>
  <c r="E229" i="6"/>
  <c r="E226" i="6"/>
  <c r="E225" i="6"/>
  <c r="E224" i="6"/>
  <c r="E221" i="6"/>
  <c r="E220" i="6"/>
  <c r="E219" i="6"/>
  <c r="E218" i="6"/>
  <c r="E217" i="6"/>
  <c r="E216" i="6"/>
  <c r="E215" i="6"/>
  <c r="E212" i="6"/>
  <c r="E211" i="6"/>
  <c r="E210" i="6"/>
  <c r="E209" i="6"/>
  <c r="E208" i="6"/>
  <c r="E207" i="6"/>
  <c r="E206" i="6"/>
  <c r="E203" i="6"/>
  <c r="E202" i="6"/>
  <c r="E201" i="6"/>
  <c r="E200" i="6"/>
  <c r="E199" i="6"/>
  <c r="E198" i="6"/>
  <c r="E195" i="6"/>
  <c r="E194" i="6"/>
  <c r="E193" i="6"/>
  <c r="E192" i="6"/>
  <c r="E191" i="6"/>
  <c r="E190" i="6"/>
  <c r="E187" i="6"/>
  <c r="E186" i="6"/>
  <c r="E185" i="6"/>
  <c r="E184" i="6"/>
  <c r="E183" i="6"/>
  <c r="E182" i="6"/>
  <c r="E181" i="6"/>
  <c r="E180" i="6"/>
  <c r="E179" i="6"/>
  <c r="E176" i="6"/>
  <c r="E175" i="6"/>
  <c r="E174" i="6"/>
  <c r="E173" i="6"/>
  <c r="E172" i="6"/>
  <c r="E171" i="6"/>
  <c r="E170" i="6"/>
  <c r="E169" i="6"/>
  <c r="E168" i="6"/>
  <c r="E165" i="6"/>
  <c r="E164" i="6"/>
  <c r="E163" i="6"/>
  <c r="E162" i="6"/>
  <c r="E161" i="6"/>
  <c r="E160" i="6"/>
  <c r="E159" i="6"/>
  <c r="E158" i="6"/>
  <c r="E157" i="6"/>
  <c r="E154" i="6"/>
  <c r="E153" i="6"/>
  <c r="E152" i="6"/>
  <c r="E151" i="6"/>
  <c r="E150" i="6"/>
  <c r="E149" i="6"/>
  <c r="E148" i="6"/>
  <c r="E147" i="6"/>
  <c r="E146" i="6"/>
  <c r="E95" i="6"/>
  <c r="E81" i="6"/>
  <c r="E78" i="6"/>
  <c r="E62" i="6"/>
  <c r="E61" i="6"/>
  <c r="E60" i="6"/>
  <c r="E57" i="6"/>
  <c r="E56" i="6"/>
  <c r="E53" i="6"/>
  <c r="E52" i="6"/>
  <c r="E49" i="6"/>
  <c r="E46" i="6"/>
  <c r="E36" i="6"/>
  <c r="E33" i="6"/>
  <c r="E32" i="6"/>
  <c r="E31" i="6"/>
  <c r="E30" i="6"/>
  <c r="E29" i="6"/>
  <c r="E26" i="6"/>
  <c r="E25" i="6"/>
  <c r="E22" i="6"/>
  <c r="E18" i="6"/>
  <c r="E17" i="6"/>
  <c r="N142" i="7" l="1"/>
  <c r="N184" i="7"/>
  <c r="J71" i="6"/>
  <c r="L71" i="6" s="1"/>
  <c r="J324" i="6"/>
  <c r="L324" i="6" s="1"/>
  <c r="J143" i="7"/>
  <c r="L143" i="7" s="1"/>
  <c r="J325" i="6"/>
  <c r="L325" i="6" s="1"/>
  <c r="J326" i="6"/>
  <c r="L326" i="6" s="1"/>
  <c r="J156" i="7"/>
  <c r="L156" i="7" s="1"/>
  <c r="J330" i="6"/>
  <c r="L330" i="6" s="1"/>
  <c r="J396" i="6"/>
  <c r="L396" i="6" s="1"/>
  <c r="J209" i="7"/>
  <c r="L209" i="7" s="1"/>
  <c r="N191" i="7"/>
  <c r="J63" i="7"/>
  <c r="L63" i="7" s="1"/>
  <c r="J77" i="7"/>
  <c r="L77" i="7" s="1"/>
  <c r="J111" i="7"/>
  <c r="L111" i="7" s="1"/>
  <c r="L163" i="7"/>
  <c r="N116" i="7"/>
  <c r="J106" i="7"/>
  <c r="L106" i="7" s="1"/>
  <c r="J64" i="7"/>
  <c r="L64" i="7" s="1"/>
  <c r="J102" i="7"/>
  <c r="L102" i="7" s="1"/>
  <c r="N173" i="7"/>
  <c r="J213" i="7"/>
  <c r="L213" i="7" s="1"/>
  <c r="N186" i="7"/>
  <c r="N75" i="7"/>
  <c r="N99" i="7"/>
  <c r="N115" i="7"/>
  <c r="N166" i="7"/>
  <c r="N200" i="7"/>
  <c r="N129" i="6"/>
  <c r="N109" i="6"/>
  <c r="G126" i="7"/>
  <c r="J126" i="7" s="1"/>
  <c r="L126" i="7" s="1"/>
  <c r="G135" i="7"/>
  <c r="J135" i="7" s="1"/>
  <c r="L135" i="7" s="1"/>
  <c r="G123" i="7"/>
  <c r="J123" i="7" s="1"/>
  <c r="L123" i="7" s="1"/>
  <c r="G134" i="7"/>
  <c r="J134" i="7" s="1"/>
  <c r="L134" i="7" s="1"/>
  <c r="J145" i="7"/>
  <c r="L145" i="7" s="1"/>
  <c r="N145" i="7"/>
  <c r="J146" i="7"/>
  <c r="L146" i="7" s="1"/>
  <c r="N146" i="7"/>
  <c r="J179" i="7"/>
  <c r="L179" i="7" s="1"/>
  <c r="J180" i="7"/>
  <c r="L180" i="7" s="1"/>
  <c r="N180" i="7"/>
  <c r="J178" i="7"/>
  <c r="L178" i="7" s="1"/>
  <c r="N178" i="7"/>
  <c r="N179" i="7"/>
  <c r="G87" i="7"/>
  <c r="N87" i="7" s="1"/>
  <c r="G82" i="7"/>
  <c r="J82" i="7" s="1"/>
  <c r="L82" i="7" s="1"/>
  <c r="G152" i="7"/>
  <c r="N152" i="7" s="1"/>
  <c r="G83" i="7"/>
  <c r="N83" i="7" s="1"/>
  <c r="J44" i="7"/>
  <c r="L44" i="7" s="1"/>
  <c r="N44" i="7"/>
  <c r="N43" i="7"/>
  <c r="J43" i="7"/>
  <c r="L43" i="7" s="1"/>
  <c r="G61" i="7"/>
  <c r="G53" i="7"/>
  <c r="J53" i="7" s="1"/>
  <c r="L53" i="7" s="1"/>
  <c r="J175" i="7"/>
  <c r="L175" i="7" s="1"/>
  <c r="N175" i="7"/>
  <c r="J174" i="7"/>
  <c r="L174" i="7" s="1"/>
  <c r="N174" i="7"/>
  <c r="G56" i="7"/>
  <c r="J226" i="7"/>
  <c r="L226" i="7" s="1"/>
  <c r="N226" i="7"/>
  <c r="N157" i="7"/>
  <c r="G38" i="7"/>
  <c r="J38" i="7" s="1"/>
  <c r="L38" i="7" s="1"/>
  <c r="G94" i="7"/>
  <c r="G49" i="7"/>
  <c r="G90" i="7"/>
  <c r="J90" i="7" s="1"/>
  <c r="L90" i="7" s="1"/>
  <c r="N57" i="7"/>
  <c r="N86" i="7"/>
  <c r="J86" i="7"/>
  <c r="L86" i="7" s="1"/>
  <c r="G50" i="7"/>
  <c r="G35" i="7"/>
  <c r="J35" i="7" s="1"/>
  <c r="L35" i="7" s="1"/>
  <c r="G19" i="7"/>
  <c r="G31" i="7"/>
  <c r="G27" i="7"/>
  <c r="N27" i="7" s="1"/>
  <c r="G34" i="7"/>
  <c r="G25" i="7"/>
  <c r="G18" i="7"/>
  <c r="N18" i="7" s="1"/>
  <c r="G28" i="7"/>
  <c r="J28" i="7" s="1"/>
  <c r="L28" i="7" s="1"/>
  <c r="G22" i="7"/>
  <c r="J22" i="7" s="1"/>
  <c r="L22" i="7" s="1"/>
  <c r="G17" i="7"/>
  <c r="G26" i="7"/>
  <c r="J26" i="7" s="1"/>
  <c r="L26" i="7" s="1"/>
  <c r="N214" i="7"/>
  <c r="J214" i="7"/>
  <c r="L214" i="7" s="1"/>
  <c r="J100" i="7"/>
  <c r="L100" i="7" s="1"/>
  <c r="N100" i="7"/>
  <c r="J108" i="7"/>
  <c r="L108" i="7" s="1"/>
  <c r="N108" i="7"/>
  <c r="J216" i="7"/>
  <c r="L216" i="7" s="1"/>
  <c r="O216" i="7" s="1"/>
  <c r="N77" i="7"/>
  <c r="J116" i="7"/>
  <c r="L116" i="7" s="1"/>
  <c r="O116" i="7" s="1"/>
  <c r="N102" i="7"/>
  <c r="J76" i="7"/>
  <c r="L76" i="7" s="1"/>
  <c r="O76" i="7" s="1"/>
  <c r="N127" i="7"/>
  <c r="O127" i="7" s="1"/>
  <c r="N68" i="7"/>
  <c r="J68" i="7"/>
  <c r="L68" i="7" s="1"/>
  <c r="J65" i="7"/>
  <c r="L65" i="7" s="1"/>
  <c r="N65" i="7"/>
  <c r="N74" i="7"/>
  <c r="J74" i="7"/>
  <c r="L74" i="7" s="1"/>
  <c r="N123" i="7"/>
  <c r="J133" i="7"/>
  <c r="L133" i="7" s="1"/>
  <c r="N133" i="7"/>
  <c r="J177" i="7"/>
  <c r="L177" i="7" s="1"/>
  <c r="N177" i="7"/>
  <c r="J203" i="7"/>
  <c r="L203" i="7" s="1"/>
  <c r="N203" i="7"/>
  <c r="G60" i="7"/>
  <c r="J115" i="7"/>
  <c r="L115" i="7" s="1"/>
  <c r="J101" i="7"/>
  <c r="L101" i="7" s="1"/>
  <c r="N101" i="7"/>
  <c r="N104" i="7"/>
  <c r="J104" i="7"/>
  <c r="L104" i="7" s="1"/>
  <c r="N131" i="7"/>
  <c r="N195" i="7"/>
  <c r="J99" i="7"/>
  <c r="L99" i="7" s="1"/>
  <c r="J107" i="7"/>
  <c r="L107" i="7" s="1"/>
  <c r="J75" i="7"/>
  <c r="L75" i="7" s="1"/>
  <c r="J80" i="7"/>
  <c r="L80" i="7" s="1"/>
  <c r="N196" i="7"/>
  <c r="N134" i="7"/>
  <c r="N63" i="7"/>
  <c r="O63" i="7" s="1"/>
  <c r="N80" i="7"/>
  <c r="N107" i="7"/>
  <c r="N114" i="7"/>
  <c r="N111" i="7"/>
  <c r="J105" i="7"/>
  <c r="L105" i="7" s="1"/>
  <c r="O105" i="7" s="1"/>
  <c r="J114" i="7"/>
  <c r="L114" i="7" s="1"/>
  <c r="N132" i="7"/>
  <c r="N64" i="7"/>
  <c r="N73" i="7"/>
  <c r="J73" i="7"/>
  <c r="L73" i="7" s="1"/>
  <c r="J81" i="7"/>
  <c r="L81" i="7" s="1"/>
  <c r="N81" i="7"/>
  <c r="N103" i="7"/>
  <c r="J103" i="7"/>
  <c r="L103" i="7" s="1"/>
  <c r="N106" i="7"/>
  <c r="N128" i="7"/>
  <c r="N139" i="7"/>
  <c r="J139" i="7"/>
  <c r="L139" i="7" s="1"/>
  <c r="N155" i="7"/>
  <c r="J155" i="7"/>
  <c r="L155" i="7" s="1"/>
  <c r="G122" i="7"/>
  <c r="J122" i="7" s="1"/>
  <c r="L122" i="7" s="1"/>
  <c r="N211" i="7"/>
  <c r="J211" i="7"/>
  <c r="L211" i="7" s="1"/>
  <c r="J224" i="7"/>
  <c r="L224" i="7" s="1"/>
  <c r="N224" i="7"/>
  <c r="N169" i="7"/>
  <c r="J169" i="7"/>
  <c r="L169" i="7" s="1"/>
  <c r="G125" i="7"/>
  <c r="N198" i="7"/>
  <c r="N212" i="7"/>
  <c r="J212" i="7"/>
  <c r="L212" i="7" s="1"/>
  <c r="N232" i="7"/>
  <c r="J232" i="7"/>
  <c r="L232" i="7" s="1"/>
  <c r="G124" i="7"/>
  <c r="G137" i="7"/>
  <c r="N163" i="7"/>
  <c r="N201" i="7"/>
  <c r="J201" i="7"/>
  <c r="L201" i="7" s="1"/>
  <c r="G234" i="7"/>
  <c r="N204" i="7"/>
  <c r="J204" i="7"/>
  <c r="L204" i="7" s="1"/>
  <c r="G138" i="7"/>
  <c r="J173" i="7"/>
  <c r="L173" i="7" s="1"/>
  <c r="N187" i="7"/>
  <c r="J187" i="7"/>
  <c r="L187" i="7" s="1"/>
  <c r="N193" i="7"/>
  <c r="J193" i="7"/>
  <c r="L193" i="7" s="1"/>
  <c r="N197" i="7"/>
  <c r="O197" i="7" s="1"/>
  <c r="N213" i="7"/>
  <c r="N160" i="7"/>
  <c r="J160" i="7"/>
  <c r="L160" i="7" s="1"/>
  <c r="J185" i="7"/>
  <c r="L185" i="7" s="1"/>
  <c r="N205" i="7"/>
  <c r="J205" i="7"/>
  <c r="L205" i="7" s="1"/>
  <c r="N220" i="7"/>
  <c r="J220" i="7"/>
  <c r="L220" i="7" s="1"/>
  <c r="N231" i="7"/>
  <c r="J231" i="7"/>
  <c r="L231" i="7" s="1"/>
  <c r="N236" i="7"/>
  <c r="J236" i="7"/>
  <c r="L236" i="7" s="1"/>
  <c r="N185" i="7"/>
  <c r="N210" i="7"/>
  <c r="J149" i="7"/>
  <c r="L149" i="7" s="1"/>
  <c r="O149" i="7" s="1"/>
  <c r="J166" i="7"/>
  <c r="L166" i="7" s="1"/>
  <c r="J168" i="7"/>
  <c r="L168" i="7" s="1"/>
  <c r="O168" i="7" s="1"/>
  <c r="J186" i="7"/>
  <c r="L186" i="7" s="1"/>
  <c r="J191" i="7"/>
  <c r="L191" i="7" s="1"/>
  <c r="O191" i="7" s="1"/>
  <c r="J200" i="7"/>
  <c r="L200" i="7" s="1"/>
  <c r="O200" i="7" s="1"/>
  <c r="O209" i="7"/>
  <c r="J109" i="6"/>
  <c r="L109" i="6" s="1"/>
  <c r="N411" i="6"/>
  <c r="O411" i="6" s="1"/>
  <c r="J265" i="6"/>
  <c r="L265" i="6" s="1"/>
  <c r="O265" i="6" s="1"/>
  <c r="J340" i="6"/>
  <c r="L340" i="6" s="1"/>
  <c r="O340" i="6" s="1"/>
  <c r="N366" i="6"/>
  <c r="O366" i="6" s="1"/>
  <c r="J316" i="6"/>
  <c r="L316" i="6" s="1"/>
  <c r="O316" i="6" s="1"/>
  <c r="J390" i="6"/>
  <c r="L390" i="6" s="1"/>
  <c r="O390" i="6" s="1"/>
  <c r="N101" i="6"/>
  <c r="O101" i="6" s="1"/>
  <c r="O324" i="6"/>
  <c r="J41" i="6"/>
  <c r="L41" i="6" s="1"/>
  <c r="O41" i="6" s="1"/>
  <c r="P38" i="6" s="1"/>
  <c r="N127" i="6"/>
  <c r="O127" i="6" s="1"/>
  <c r="J344" i="6"/>
  <c r="L344" i="6" s="1"/>
  <c r="O344" i="6" s="1"/>
  <c r="J405" i="6"/>
  <c r="L405" i="6" s="1"/>
  <c r="O405" i="6" s="1"/>
  <c r="J77" i="6"/>
  <c r="L77" i="6" s="1"/>
  <c r="O77" i="6" s="1"/>
  <c r="N131" i="6"/>
  <c r="O131" i="6" s="1"/>
  <c r="N329" i="6"/>
  <c r="O329" i="6" s="1"/>
  <c r="G52" i="6"/>
  <c r="J52" i="6" s="1"/>
  <c r="L52" i="6" s="1"/>
  <c r="G395" i="6"/>
  <c r="J395" i="6" s="1"/>
  <c r="L395" i="6" s="1"/>
  <c r="G410" i="6"/>
  <c r="N410" i="6" s="1"/>
  <c r="N306" i="6"/>
  <c r="O306" i="6" s="1"/>
  <c r="J69" i="6"/>
  <c r="L69" i="6" s="1"/>
  <c r="O69" i="6" s="1"/>
  <c r="O396" i="6"/>
  <c r="N297" i="6"/>
  <c r="O297" i="6" s="1"/>
  <c r="N282" i="6"/>
  <c r="O282" i="6" s="1"/>
  <c r="N135" i="6"/>
  <c r="O135" i="6" s="1"/>
  <c r="J140" i="6"/>
  <c r="L140" i="6" s="1"/>
  <c r="O140" i="6" s="1"/>
  <c r="N119" i="6"/>
  <c r="O119" i="6" s="1"/>
  <c r="N113" i="6"/>
  <c r="O113" i="6" s="1"/>
  <c r="N87" i="6"/>
  <c r="O87" i="6" s="1"/>
  <c r="N91" i="6"/>
  <c r="O91" i="6" s="1"/>
  <c r="J354" i="6"/>
  <c r="L354" i="6" s="1"/>
  <c r="O354" i="6" s="1"/>
  <c r="N373" i="6"/>
  <c r="O373" i="6" s="1"/>
  <c r="N323" i="6"/>
  <c r="O323" i="6" s="1"/>
  <c r="N381" i="6"/>
  <c r="O381" i="6" s="1"/>
  <c r="G46" i="6"/>
  <c r="N46" i="6" s="1"/>
  <c r="G56" i="6"/>
  <c r="G62" i="6"/>
  <c r="J62" i="6" s="1"/>
  <c r="L62" i="6" s="1"/>
  <c r="G146" i="6"/>
  <c r="N146" i="6" s="1"/>
  <c r="G150" i="6"/>
  <c r="N150" i="6" s="1"/>
  <c r="G154" i="6"/>
  <c r="N154" i="6" s="1"/>
  <c r="G160" i="6"/>
  <c r="G164" i="6"/>
  <c r="J164" i="6" s="1"/>
  <c r="L164" i="6" s="1"/>
  <c r="G180" i="6"/>
  <c r="G184" i="6"/>
  <c r="J184" i="6" s="1"/>
  <c r="L184" i="6" s="1"/>
  <c r="G190" i="6"/>
  <c r="J190" i="6" s="1"/>
  <c r="L190" i="6" s="1"/>
  <c r="G194" i="6"/>
  <c r="J194" i="6" s="1"/>
  <c r="L194" i="6" s="1"/>
  <c r="G200" i="6"/>
  <c r="J200" i="6" s="1"/>
  <c r="L200" i="6" s="1"/>
  <c r="G216" i="6"/>
  <c r="N216" i="6" s="1"/>
  <c r="G220" i="6"/>
  <c r="J220" i="6" s="1"/>
  <c r="L220" i="6" s="1"/>
  <c r="G226" i="6"/>
  <c r="G238" i="6"/>
  <c r="G244" i="6"/>
  <c r="J244" i="6" s="1"/>
  <c r="L244" i="6" s="1"/>
  <c r="G248" i="6"/>
  <c r="J248" i="6" s="1"/>
  <c r="L248" i="6" s="1"/>
  <c r="G254" i="6"/>
  <c r="J254" i="6" s="1"/>
  <c r="L254" i="6" s="1"/>
  <c r="G260" i="6"/>
  <c r="G266" i="6"/>
  <c r="J266" i="6" s="1"/>
  <c r="L266" i="6" s="1"/>
  <c r="G286" i="6"/>
  <c r="N286" i="6" s="1"/>
  <c r="G371" i="6"/>
  <c r="G377" i="6"/>
  <c r="J377" i="6" s="1"/>
  <c r="L377" i="6" s="1"/>
  <c r="G385" i="6"/>
  <c r="G393" i="6"/>
  <c r="J304" i="6"/>
  <c r="L304" i="6" s="1"/>
  <c r="O304" i="6" s="1"/>
  <c r="N315" i="6"/>
  <c r="O315" i="6" s="1"/>
  <c r="N389" i="6"/>
  <c r="O389" i="6" s="1"/>
  <c r="J404" i="6"/>
  <c r="L404" i="6" s="1"/>
  <c r="O404" i="6" s="1"/>
  <c r="G49" i="6"/>
  <c r="N49" i="6" s="1"/>
  <c r="G57" i="6"/>
  <c r="N57" i="6" s="1"/>
  <c r="G95" i="6"/>
  <c r="J95" i="6" s="1"/>
  <c r="L95" i="6" s="1"/>
  <c r="G147" i="6"/>
  <c r="G151" i="6"/>
  <c r="G181" i="6"/>
  <c r="J181" i="6" s="1"/>
  <c r="L181" i="6" s="1"/>
  <c r="G185" i="6"/>
  <c r="J185" i="6" s="1"/>
  <c r="L185" i="6" s="1"/>
  <c r="G191" i="6"/>
  <c r="G195" i="6"/>
  <c r="J195" i="6" s="1"/>
  <c r="L195" i="6" s="1"/>
  <c r="G217" i="6"/>
  <c r="J217" i="6" s="1"/>
  <c r="L217" i="6" s="1"/>
  <c r="G221" i="6"/>
  <c r="J221" i="6" s="1"/>
  <c r="L221" i="6" s="1"/>
  <c r="G239" i="6"/>
  <c r="J239" i="6" s="1"/>
  <c r="L239" i="6" s="1"/>
  <c r="G245" i="6"/>
  <c r="G249" i="6"/>
  <c r="J249" i="6" s="1"/>
  <c r="L249" i="6" s="1"/>
  <c r="G261" i="6"/>
  <c r="J261" i="6" s="1"/>
  <c r="L261" i="6" s="1"/>
  <c r="G378" i="6"/>
  <c r="N313" i="6"/>
  <c r="O313" i="6" s="1"/>
  <c r="J318" i="6"/>
  <c r="L318" i="6" s="1"/>
  <c r="O318" i="6" s="1"/>
  <c r="J103" i="6"/>
  <c r="L103" i="6" s="1"/>
  <c r="O103" i="6" s="1"/>
  <c r="N111" i="6"/>
  <c r="O111" i="6" s="1"/>
  <c r="N289" i="6"/>
  <c r="O289" i="6" s="1"/>
  <c r="N307" i="6"/>
  <c r="O307" i="6" s="1"/>
  <c r="O330" i="6"/>
  <c r="N279" i="6"/>
  <c r="O279" i="6" s="1"/>
  <c r="J107" i="6"/>
  <c r="L107" i="6" s="1"/>
  <c r="O107" i="6" s="1"/>
  <c r="G26" i="6"/>
  <c r="N26" i="6" s="1"/>
  <c r="G32" i="6"/>
  <c r="J32" i="6" s="1"/>
  <c r="L32" i="6" s="1"/>
  <c r="G78" i="6"/>
  <c r="J78" i="6" s="1"/>
  <c r="L78" i="6" s="1"/>
  <c r="G29" i="6"/>
  <c r="G372" i="6"/>
  <c r="N372" i="6" s="1"/>
  <c r="N299" i="6"/>
  <c r="O299" i="6" s="1"/>
  <c r="G33" i="6"/>
  <c r="G401" i="6"/>
  <c r="J401" i="6" s="1"/>
  <c r="L401" i="6" s="1"/>
  <c r="N89" i="6"/>
  <c r="O89" i="6" s="1"/>
  <c r="N296" i="6"/>
  <c r="O296" i="6" s="1"/>
  <c r="J322" i="6"/>
  <c r="L322" i="6" s="1"/>
  <c r="O322" i="6" s="1"/>
  <c r="O325" i="6"/>
  <c r="J335" i="6"/>
  <c r="L335" i="6" s="1"/>
  <c r="O335" i="6" s="1"/>
  <c r="J341" i="6"/>
  <c r="L341" i="6" s="1"/>
  <c r="O341" i="6" s="1"/>
  <c r="J386" i="6"/>
  <c r="L386" i="6" s="1"/>
  <c r="O386" i="6" s="1"/>
  <c r="J407" i="6"/>
  <c r="L407" i="6" s="1"/>
  <c r="O407" i="6" s="1"/>
  <c r="G17" i="6"/>
  <c r="J17" i="6" s="1"/>
  <c r="L17" i="6" s="1"/>
  <c r="G22" i="6"/>
  <c r="N22" i="6" s="1"/>
  <c r="G30" i="6"/>
  <c r="J30" i="6" s="1"/>
  <c r="L30" i="6" s="1"/>
  <c r="G36" i="6"/>
  <c r="G270" i="6"/>
  <c r="O71" i="6"/>
  <c r="N123" i="6"/>
  <c r="O123" i="6" s="1"/>
  <c r="O326" i="6"/>
  <c r="G18" i="6"/>
  <c r="G25" i="6"/>
  <c r="J25" i="6" s="1"/>
  <c r="L25" i="6" s="1"/>
  <c r="G31" i="6"/>
  <c r="J31" i="6" s="1"/>
  <c r="L31" i="6" s="1"/>
  <c r="G53" i="6"/>
  <c r="G81" i="6"/>
  <c r="N81" i="6" s="1"/>
  <c r="G273" i="6"/>
  <c r="G285" i="6"/>
  <c r="J285" i="6" s="1"/>
  <c r="L285" i="6" s="1"/>
  <c r="G359" i="6"/>
  <c r="G376" i="6"/>
  <c r="J376" i="6" s="1"/>
  <c r="L376" i="6" s="1"/>
  <c r="G384" i="6"/>
  <c r="J384" i="6" s="1"/>
  <c r="L384" i="6" s="1"/>
  <c r="G174" i="6"/>
  <c r="J174" i="6" s="1"/>
  <c r="L174" i="6" s="1"/>
  <c r="G206" i="6"/>
  <c r="J206" i="6" s="1"/>
  <c r="L206" i="6" s="1"/>
  <c r="G157" i="6"/>
  <c r="J157" i="6" s="1"/>
  <c r="L157" i="6" s="1"/>
  <c r="G165" i="6"/>
  <c r="J165" i="6" s="1"/>
  <c r="L165" i="6" s="1"/>
  <c r="G175" i="6"/>
  <c r="J175" i="6" s="1"/>
  <c r="L175" i="6" s="1"/>
  <c r="G207" i="6"/>
  <c r="G229" i="6"/>
  <c r="J229" i="6" s="1"/>
  <c r="L229" i="6" s="1"/>
  <c r="J65" i="6"/>
  <c r="L65" i="6" s="1"/>
  <c r="O65" i="6" s="1"/>
  <c r="N79" i="6"/>
  <c r="O79" i="6" s="1"/>
  <c r="N114" i="6"/>
  <c r="O114" i="6" s="1"/>
  <c r="N292" i="6"/>
  <c r="O292" i="6" s="1"/>
  <c r="J321" i="6"/>
  <c r="L321" i="6" s="1"/>
  <c r="O321" i="6" s="1"/>
  <c r="J342" i="6"/>
  <c r="L342" i="6" s="1"/>
  <c r="O342" i="6" s="1"/>
  <c r="N350" i="6"/>
  <c r="O350" i="6" s="1"/>
  <c r="P348" i="6" s="1"/>
  <c r="N394" i="6"/>
  <c r="O394" i="6" s="1"/>
  <c r="J398" i="6"/>
  <c r="L398" i="6" s="1"/>
  <c r="O398" i="6" s="1"/>
  <c r="G60" i="6"/>
  <c r="N60" i="6" s="1"/>
  <c r="G148" i="6"/>
  <c r="J148" i="6" s="1"/>
  <c r="L148" i="6" s="1"/>
  <c r="G152" i="6"/>
  <c r="N152" i="6" s="1"/>
  <c r="G158" i="6"/>
  <c r="N158" i="6" s="1"/>
  <c r="G162" i="6"/>
  <c r="J162" i="6" s="1"/>
  <c r="L162" i="6" s="1"/>
  <c r="G168" i="6"/>
  <c r="J168" i="6" s="1"/>
  <c r="L168" i="6" s="1"/>
  <c r="G172" i="6"/>
  <c r="J172" i="6" s="1"/>
  <c r="L172" i="6" s="1"/>
  <c r="G176" i="6"/>
  <c r="J176" i="6" s="1"/>
  <c r="L176" i="6" s="1"/>
  <c r="G182" i="6"/>
  <c r="J182" i="6" s="1"/>
  <c r="L182" i="6" s="1"/>
  <c r="G186" i="6"/>
  <c r="J186" i="6" s="1"/>
  <c r="L186" i="6" s="1"/>
  <c r="G192" i="6"/>
  <c r="J192" i="6" s="1"/>
  <c r="L192" i="6" s="1"/>
  <c r="G198" i="6"/>
  <c r="J198" i="6" s="1"/>
  <c r="L198" i="6" s="1"/>
  <c r="G202" i="6"/>
  <c r="J202" i="6" s="1"/>
  <c r="L202" i="6" s="1"/>
  <c r="G208" i="6"/>
  <c r="J208" i="6" s="1"/>
  <c r="L208" i="6" s="1"/>
  <c r="G212" i="6"/>
  <c r="J212" i="6" s="1"/>
  <c r="L212" i="6" s="1"/>
  <c r="G218" i="6"/>
  <c r="J218" i="6" s="1"/>
  <c r="L218" i="6" s="1"/>
  <c r="G224" i="6"/>
  <c r="J224" i="6" s="1"/>
  <c r="L224" i="6" s="1"/>
  <c r="G230" i="6"/>
  <c r="G236" i="6"/>
  <c r="J236" i="6" s="1"/>
  <c r="L236" i="6" s="1"/>
  <c r="G240" i="6"/>
  <c r="J240" i="6" s="1"/>
  <c r="L240" i="6" s="1"/>
  <c r="G246" i="6"/>
  <c r="J246" i="6" s="1"/>
  <c r="L246" i="6" s="1"/>
  <c r="G252" i="6"/>
  <c r="J252" i="6" s="1"/>
  <c r="L252" i="6" s="1"/>
  <c r="G256" i="6"/>
  <c r="J256" i="6" s="1"/>
  <c r="L256" i="6" s="1"/>
  <c r="G262" i="6"/>
  <c r="J262" i="6" s="1"/>
  <c r="L262" i="6" s="1"/>
  <c r="G364" i="6"/>
  <c r="G170" i="6"/>
  <c r="J170" i="6" s="1"/>
  <c r="L170" i="6" s="1"/>
  <c r="G210" i="6"/>
  <c r="J210" i="6" s="1"/>
  <c r="L210" i="6" s="1"/>
  <c r="G232" i="6"/>
  <c r="G161" i="6"/>
  <c r="J161" i="6" s="1"/>
  <c r="L161" i="6" s="1"/>
  <c r="G171" i="6"/>
  <c r="J171" i="6" s="1"/>
  <c r="L171" i="6" s="1"/>
  <c r="G201" i="6"/>
  <c r="J201" i="6" s="1"/>
  <c r="L201" i="6" s="1"/>
  <c r="G211" i="6"/>
  <c r="J211" i="6" s="1"/>
  <c r="L211" i="6" s="1"/>
  <c r="G233" i="6"/>
  <c r="J233" i="6" s="1"/>
  <c r="L233" i="6" s="1"/>
  <c r="G255" i="6"/>
  <c r="J255" i="6" s="1"/>
  <c r="L255" i="6" s="1"/>
  <c r="N83" i="6"/>
  <c r="O83" i="6" s="1"/>
  <c r="N115" i="6"/>
  <c r="O115" i="6" s="1"/>
  <c r="N128" i="6"/>
  <c r="O128" i="6" s="1"/>
  <c r="J334" i="6"/>
  <c r="L334" i="6" s="1"/>
  <c r="O334" i="6" s="1"/>
  <c r="N361" i="6"/>
  <c r="O361" i="6" s="1"/>
  <c r="G61" i="6"/>
  <c r="G149" i="6"/>
  <c r="J149" i="6" s="1"/>
  <c r="L149" i="6" s="1"/>
  <c r="G153" i="6"/>
  <c r="G159" i="6"/>
  <c r="J159" i="6" s="1"/>
  <c r="L159" i="6" s="1"/>
  <c r="G163" i="6"/>
  <c r="J163" i="6" s="1"/>
  <c r="L163" i="6" s="1"/>
  <c r="G169" i="6"/>
  <c r="G173" i="6"/>
  <c r="J173" i="6" s="1"/>
  <c r="L173" i="6" s="1"/>
  <c r="G179" i="6"/>
  <c r="J179" i="6" s="1"/>
  <c r="L179" i="6" s="1"/>
  <c r="G183" i="6"/>
  <c r="J183" i="6" s="1"/>
  <c r="L183" i="6" s="1"/>
  <c r="G187" i="6"/>
  <c r="J187" i="6" s="1"/>
  <c r="L187" i="6" s="1"/>
  <c r="G193" i="6"/>
  <c r="J193" i="6" s="1"/>
  <c r="L193" i="6" s="1"/>
  <c r="G199" i="6"/>
  <c r="G203" i="6"/>
  <c r="J203" i="6" s="1"/>
  <c r="L203" i="6" s="1"/>
  <c r="G209" i="6"/>
  <c r="J209" i="6" s="1"/>
  <c r="L209" i="6" s="1"/>
  <c r="G215" i="6"/>
  <c r="J215" i="6" s="1"/>
  <c r="L215" i="6" s="1"/>
  <c r="G219" i="6"/>
  <c r="J219" i="6" s="1"/>
  <c r="L219" i="6" s="1"/>
  <c r="G225" i="6"/>
  <c r="J225" i="6" s="1"/>
  <c r="L225" i="6" s="1"/>
  <c r="G231" i="6"/>
  <c r="G237" i="6"/>
  <c r="G241" i="6"/>
  <c r="J241" i="6" s="1"/>
  <c r="L241" i="6" s="1"/>
  <c r="G247" i="6"/>
  <c r="J247" i="6" s="1"/>
  <c r="L247" i="6" s="1"/>
  <c r="G253" i="6"/>
  <c r="G257" i="6"/>
  <c r="J257" i="6" s="1"/>
  <c r="L257" i="6" s="1"/>
  <c r="N137" i="6"/>
  <c r="J137" i="6"/>
  <c r="L137" i="6" s="1"/>
  <c r="J94" i="6"/>
  <c r="L94" i="6" s="1"/>
  <c r="N94" i="6"/>
  <c r="J106" i="6"/>
  <c r="L106" i="6" s="1"/>
  <c r="N106" i="6"/>
  <c r="J346" i="6"/>
  <c r="L346" i="6" s="1"/>
  <c r="N346" i="6"/>
  <c r="J319" i="6"/>
  <c r="L319" i="6" s="1"/>
  <c r="O319" i="6" s="1"/>
  <c r="J70" i="6"/>
  <c r="L70" i="6" s="1"/>
  <c r="O70" i="6" s="1"/>
  <c r="J82" i="6"/>
  <c r="L82" i="6" s="1"/>
  <c r="O82" i="6" s="1"/>
  <c r="J105" i="6"/>
  <c r="L105" i="6" s="1"/>
  <c r="O105" i="6" s="1"/>
  <c r="J267" i="6"/>
  <c r="L267" i="6" s="1"/>
  <c r="O267" i="6" s="1"/>
  <c r="J291" i="6"/>
  <c r="L291" i="6" s="1"/>
  <c r="O291" i="6" s="1"/>
  <c r="J305" i="6"/>
  <c r="L305" i="6" s="1"/>
  <c r="O305" i="6" s="1"/>
  <c r="J308" i="6"/>
  <c r="L308" i="6" s="1"/>
  <c r="O308" i="6" s="1"/>
  <c r="J327" i="6"/>
  <c r="L327" i="6" s="1"/>
  <c r="O327" i="6" s="1"/>
  <c r="J362" i="6"/>
  <c r="L362" i="6" s="1"/>
  <c r="O362" i="6" s="1"/>
  <c r="J298" i="6"/>
  <c r="L298" i="6" s="1"/>
  <c r="O298" i="6" s="1"/>
  <c r="J331" i="6"/>
  <c r="L331" i="6" s="1"/>
  <c r="O331" i="6" s="1"/>
  <c r="J339" i="6"/>
  <c r="L339" i="6" s="1"/>
  <c r="O339" i="6" s="1"/>
  <c r="N343" i="6"/>
  <c r="O343" i="6" s="1"/>
  <c r="J129" i="6"/>
  <c r="L129" i="6" s="1"/>
  <c r="N276" i="6"/>
  <c r="J276" i="6"/>
  <c r="L276" i="6" s="1"/>
  <c r="J406" i="6"/>
  <c r="L406" i="6" s="1"/>
  <c r="O406" i="6" s="1"/>
  <c r="J320" i="6"/>
  <c r="L320" i="6" s="1"/>
  <c r="N320" i="6"/>
  <c r="N328" i="6"/>
  <c r="J328" i="6"/>
  <c r="L328" i="6" s="1"/>
  <c r="J333" i="6"/>
  <c r="L333" i="6" s="1"/>
  <c r="O333" i="6" s="1"/>
  <c r="N303" i="6"/>
  <c r="J303" i="6"/>
  <c r="L303" i="6" s="1"/>
  <c r="N312" i="6"/>
  <c r="J312" i="6"/>
  <c r="L312" i="6" s="1"/>
  <c r="N317" i="6"/>
  <c r="J317" i="6"/>
  <c r="L317" i="6" s="1"/>
  <c r="N133" i="6"/>
  <c r="J133" i="6"/>
  <c r="L133" i="6" s="1"/>
  <c r="N136" i="6"/>
  <c r="J136" i="6"/>
  <c r="L136" i="6" s="1"/>
  <c r="N76" i="6"/>
  <c r="J76" i="6"/>
  <c r="L76" i="6" s="1"/>
  <c r="J80" i="6"/>
  <c r="L80" i="6" s="1"/>
  <c r="N80" i="6"/>
  <c r="J102" i="6"/>
  <c r="L102" i="6" s="1"/>
  <c r="N102" i="6"/>
  <c r="N116" i="6"/>
  <c r="J116" i="6"/>
  <c r="L116" i="6" s="1"/>
  <c r="J124" i="6"/>
  <c r="L124" i="6" s="1"/>
  <c r="N124" i="6"/>
  <c r="N86" i="6"/>
  <c r="J86" i="6"/>
  <c r="L86" i="6" s="1"/>
  <c r="J90" i="6"/>
  <c r="L90" i="6" s="1"/>
  <c r="N90" i="6"/>
  <c r="J110" i="6"/>
  <c r="L110" i="6" s="1"/>
  <c r="N110" i="6"/>
  <c r="N130" i="6"/>
  <c r="J130" i="6"/>
  <c r="L130" i="6" s="1"/>
  <c r="J134" i="6"/>
  <c r="L134" i="6" s="1"/>
  <c r="N134" i="6"/>
  <c r="N100" i="6"/>
  <c r="L100" i="6"/>
  <c r="J104" i="6"/>
  <c r="L104" i="6" s="1"/>
  <c r="N104" i="6"/>
  <c r="J122" i="6"/>
  <c r="L122" i="6" s="1"/>
  <c r="N122" i="6"/>
  <c r="N138" i="6"/>
  <c r="J138" i="6"/>
  <c r="L138" i="6" s="1"/>
  <c r="N19" i="6"/>
  <c r="J19" i="6"/>
  <c r="L19" i="6" s="1"/>
  <c r="J68" i="6"/>
  <c r="L68" i="6" s="1"/>
  <c r="N68" i="6"/>
  <c r="J88" i="6"/>
  <c r="L88" i="6" s="1"/>
  <c r="N88" i="6"/>
  <c r="N108" i="6"/>
  <c r="J108" i="6"/>
  <c r="L108" i="6" s="1"/>
  <c r="J112" i="6"/>
  <c r="L112" i="6" s="1"/>
  <c r="N112" i="6"/>
  <c r="J132" i="6"/>
  <c r="L132" i="6" s="1"/>
  <c r="N132" i="6"/>
  <c r="O186" i="7" l="1"/>
  <c r="O75" i="7"/>
  <c r="N135" i="7"/>
  <c r="N385" i="6"/>
  <c r="J385" i="6"/>
  <c r="L385" i="6" s="1"/>
  <c r="N50" i="7"/>
  <c r="J50" i="7"/>
  <c r="L50" i="7" s="1"/>
  <c r="O50" i="7" s="1"/>
  <c r="N126" i="7"/>
  <c r="O126" i="7" s="1"/>
  <c r="N61" i="7"/>
  <c r="J61" i="7"/>
  <c r="L61" i="7" s="1"/>
  <c r="N393" i="6"/>
  <c r="O393" i="6" s="1"/>
  <c r="J393" i="6"/>
  <c r="L393" i="6" s="1"/>
  <c r="N33" i="6"/>
  <c r="J33" i="6"/>
  <c r="L33" i="6" s="1"/>
  <c r="N378" i="6"/>
  <c r="J378" i="6"/>
  <c r="L378" i="6" s="1"/>
  <c r="O378" i="6" s="1"/>
  <c r="N34" i="7"/>
  <c r="J34" i="7"/>
  <c r="L34" i="7" s="1"/>
  <c r="N56" i="7"/>
  <c r="J56" i="7"/>
  <c r="L56" i="7" s="1"/>
  <c r="N371" i="6"/>
  <c r="J371" i="6"/>
  <c r="L371" i="6" s="1"/>
  <c r="N260" i="6"/>
  <c r="J260" i="6"/>
  <c r="L260" i="6" s="1"/>
  <c r="N31" i="7"/>
  <c r="J31" i="7"/>
  <c r="L31" i="7" s="1"/>
  <c r="N49" i="7"/>
  <c r="O49" i="7" s="1"/>
  <c r="J49" i="7"/>
  <c r="L49" i="7" s="1"/>
  <c r="N226" i="6"/>
  <c r="J226" i="6"/>
  <c r="L226" i="6" s="1"/>
  <c r="N36" i="6"/>
  <c r="J36" i="6"/>
  <c r="L36" i="6" s="1"/>
  <c r="O36" i="6" s="1"/>
  <c r="N29" i="6"/>
  <c r="J29" i="6"/>
  <c r="L29" i="6" s="1"/>
  <c r="O29" i="6" s="1"/>
  <c r="N94" i="7"/>
  <c r="J94" i="7"/>
  <c r="L94" i="7" s="1"/>
  <c r="O173" i="7"/>
  <c r="O129" i="6"/>
  <c r="O109" i="6"/>
  <c r="O77" i="7"/>
  <c r="O166" i="7"/>
  <c r="O64" i="7"/>
  <c r="O111" i="7"/>
  <c r="O106" i="7"/>
  <c r="O102" i="7"/>
  <c r="N25" i="7"/>
  <c r="J25" i="7"/>
  <c r="L25" i="7" s="1"/>
  <c r="J17" i="7"/>
  <c r="L17" i="7" s="1"/>
  <c r="N17" i="7"/>
  <c r="O213" i="7"/>
  <c r="O99" i="7"/>
  <c r="O115" i="7"/>
  <c r="N19" i="7"/>
  <c r="N22" i="7"/>
  <c r="O22" i="7" s="1"/>
  <c r="N160" i="6"/>
  <c r="J160" i="6"/>
  <c r="L160" i="6" s="1"/>
  <c r="N238" i="6"/>
  <c r="J238" i="6"/>
  <c r="L238" i="6" s="1"/>
  <c r="J286" i="6"/>
  <c r="L286" i="6" s="1"/>
  <c r="O286" i="6" s="1"/>
  <c r="O145" i="7"/>
  <c r="J152" i="7"/>
  <c r="L152" i="7" s="1"/>
  <c r="O152" i="7" s="1"/>
  <c r="O146" i="7"/>
  <c r="J83" i="7"/>
  <c r="L83" i="7" s="1"/>
  <c r="O83" i="7" s="1"/>
  <c r="N82" i="7"/>
  <c r="O82" i="7" s="1"/>
  <c r="O180" i="7"/>
  <c r="O179" i="7"/>
  <c r="O178" i="7"/>
  <c r="J87" i="7"/>
  <c r="L87" i="7" s="1"/>
  <c r="O87" i="7" s="1"/>
  <c r="N53" i="7"/>
  <c r="O53" i="7" s="1"/>
  <c r="O61" i="7"/>
  <c r="O44" i="7"/>
  <c r="O43" i="7"/>
  <c r="O174" i="7"/>
  <c r="O175" i="7"/>
  <c r="O226" i="7"/>
  <c r="P352" i="6"/>
  <c r="N90" i="7"/>
  <c r="O90" i="7" s="1"/>
  <c r="O156" i="7"/>
  <c r="O157" i="7"/>
  <c r="N38" i="7"/>
  <c r="O38" i="7" s="1"/>
  <c r="O57" i="7"/>
  <c r="J19" i="7"/>
  <c r="L19" i="7" s="1"/>
  <c r="O86" i="7"/>
  <c r="J27" i="7"/>
  <c r="L27" i="7" s="1"/>
  <c r="O27" i="7" s="1"/>
  <c r="N35" i="7"/>
  <c r="O35" i="7" s="1"/>
  <c r="O31" i="7"/>
  <c r="J18" i="7"/>
  <c r="L18" i="7" s="1"/>
  <c r="O18" i="7" s="1"/>
  <c r="O34" i="7"/>
  <c r="O214" i="7"/>
  <c r="N28" i="7"/>
  <c r="O28" i="7" s="1"/>
  <c r="A17" i="7"/>
  <c r="O169" i="7"/>
  <c r="O123" i="7"/>
  <c r="O232" i="7"/>
  <c r="O155" i="7"/>
  <c r="N26" i="7"/>
  <c r="O26" i="7" s="1"/>
  <c r="O114" i="7"/>
  <c r="O193" i="7"/>
  <c r="O201" i="7"/>
  <c r="O212" i="7"/>
  <c r="O205" i="7"/>
  <c r="O198" i="7"/>
  <c r="O142" i="7"/>
  <c r="O224" i="7"/>
  <c r="O100" i="7"/>
  <c r="O203" i="7"/>
  <c r="O163" i="7"/>
  <c r="O143" i="7"/>
  <c r="O211" i="7"/>
  <c r="O101" i="7"/>
  <c r="O68" i="7"/>
  <c r="O108" i="7"/>
  <c r="O135" i="7"/>
  <c r="O184" i="7"/>
  <c r="O196" i="7"/>
  <c r="O107" i="7"/>
  <c r="O236" i="7"/>
  <c r="O187" i="7"/>
  <c r="O204" i="7"/>
  <c r="O104" i="7"/>
  <c r="O74" i="7"/>
  <c r="O131" i="7"/>
  <c r="O81" i="7"/>
  <c r="O73" i="7"/>
  <c r="N137" i="7"/>
  <c r="J137" i="7"/>
  <c r="L137" i="7" s="1"/>
  <c r="O80" i="7"/>
  <c r="O160" i="7"/>
  <c r="N125" i="7"/>
  <c r="J125" i="7"/>
  <c r="L125" i="7" s="1"/>
  <c r="J60" i="7"/>
  <c r="L60" i="7" s="1"/>
  <c r="N60" i="7"/>
  <c r="N234" i="7"/>
  <c r="J234" i="7"/>
  <c r="L234" i="7" s="1"/>
  <c r="O177" i="7"/>
  <c r="O65" i="7"/>
  <c r="O231" i="7"/>
  <c r="N122" i="7"/>
  <c r="O139" i="7"/>
  <c r="O103" i="7"/>
  <c r="O134" i="7"/>
  <c r="O195" i="7"/>
  <c r="N138" i="7"/>
  <c r="J138" i="7"/>
  <c r="L138" i="7" s="1"/>
  <c r="O132" i="7"/>
  <c r="O185" i="7"/>
  <c r="O210" i="7"/>
  <c r="O220" i="7"/>
  <c r="P218" i="7" s="1"/>
  <c r="J124" i="7"/>
  <c r="L124" i="7" s="1"/>
  <c r="N124" i="7"/>
  <c r="O128" i="7"/>
  <c r="O133" i="7"/>
  <c r="N18" i="6"/>
  <c r="O371" i="6"/>
  <c r="J372" i="6"/>
  <c r="L372" i="6" s="1"/>
  <c r="O372" i="6" s="1"/>
  <c r="P294" i="6"/>
  <c r="N17" i="6"/>
  <c r="O17" i="6" s="1"/>
  <c r="N52" i="6"/>
  <c r="O52" i="6" s="1"/>
  <c r="J26" i="6"/>
  <c r="L26" i="6" s="1"/>
  <c r="O26" i="6" s="1"/>
  <c r="O260" i="6"/>
  <c r="J150" i="6"/>
  <c r="L150" i="6" s="1"/>
  <c r="O150" i="6" s="1"/>
  <c r="J46" i="6"/>
  <c r="L46" i="6" s="1"/>
  <c r="O46" i="6" s="1"/>
  <c r="N377" i="6"/>
  <c r="O377" i="6" s="1"/>
  <c r="J57" i="6"/>
  <c r="L57" i="6" s="1"/>
  <c r="O57" i="6" s="1"/>
  <c r="J410" i="6"/>
  <c r="L410" i="6" s="1"/>
  <c r="O410" i="6" s="1"/>
  <c r="N62" i="6"/>
  <c r="O62" i="6" s="1"/>
  <c r="N395" i="6"/>
  <c r="O395" i="6" s="1"/>
  <c r="J152" i="6"/>
  <c r="L152" i="6" s="1"/>
  <c r="O152" i="6" s="1"/>
  <c r="J154" i="6"/>
  <c r="L154" i="6" s="1"/>
  <c r="O154" i="6" s="1"/>
  <c r="J146" i="6"/>
  <c r="L146" i="6" s="1"/>
  <c r="O146" i="6" s="1"/>
  <c r="N401" i="6"/>
  <c r="O401" i="6" s="1"/>
  <c r="N248" i="6"/>
  <c r="O248" i="6" s="1"/>
  <c r="O226" i="6"/>
  <c r="N95" i="6"/>
  <c r="O95" i="6" s="1"/>
  <c r="J18" i="6"/>
  <c r="L18" i="6" s="1"/>
  <c r="N30" i="6"/>
  <c r="O30" i="6" s="1"/>
  <c r="N56" i="6"/>
  <c r="J56" i="6"/>
  <c r="L56" i="6" s="1"/>
  <c r="J158" i="6"/>
  <c r="L158" i="6" s="1"/>
  <c r="O158" i="6" s="1"/>
  <c r="J216" i="6"/>
  <c r="L216" i="6" s="1"/>
  <c r="O216" i="6" s="1"/>
  <c r="J81" i="6"/>
  <c r="L81" i="6" s="1"/>
  <c r="O81" i="6" s="1"/>
  <c r="O385" i="6"/>
  <c r="N266" i="6"/>
  <c r="O266" i="6" s="1"/>
  <c r="J49" i="6"/>
  <c r="L49" i="6" s="1"/>
  <c r="O49" i="6" s="1"/>
  <c r="N148" i="6"/>
  <c r="O148" i="6" s="1"/>
  <c r="N32" i="6"/>
  <c r="O32" i="6" s="1"/>
  <c r="O94" i="6"/>
  <c r="O346" i="6"/>
  <c r="P337" i="6" s="1"/>
  <c r="O137" i="6"/>
  <c r="N53" i="6"/>
  <c r="J53" i="6"/>
  <c r="L53" i="6" s="1"/>
  <c r="N285" i="6"/>
  <c r="O285" i="6" s="1"/>
  <c r="N384" i="6"/>
  <c r="N273" i="6"/>
  <c r="J273" i="6"/>
  <c r="L273" i="6" s="1"/>
  <c r="N25" i="6"/>
  <c r="J359" i="6"/>
  <c r="L359" i="6" s="1"/>
  <c r="N359" i="6"/>
  <c r="N31" i="6"/>
  <c r="N270" i="6"/>
  <c r="J270" i="6"/>
  <c r="L270" i="6" s="1"/>
  <c r="N78" i="6"/>
  <c r="O78" i="6" s="1"/>
  <c r="J22" i="6"/>
  <c r="L22" i="6" s="1"/>
  <c r="O22" i="6" s="1"/>
  <c r="O33" i="6"/>
  <c r="N376" i="6"/>
  <c r="O328" i="6"/>
  <c r="O320" i="6"/>
  <c r="O312" i="6"/>
  <c r="O90" i="6"/>
  <c r="O80" i="6"/>
  <c r="O133" i="6"/>
  <c r="O303" i="6"/>
  <c r="P301" i="6" s="1"/>
  <c r="O100" i="6"/>
  <c r="O108" i="6"/>
  <c r="O106" i="6"/>
  <c r="N255" i="6"/>
  <c r="N185" i="6"/>
  <c r="N219" i="6"/>
  <c r="J151" i="6"/>
  <c r="L151" i="6" s="1"/>
  <c r="N151" i="6"/>
  <c r="N218" i="6"/>
  <c r="J61" i="6"/>
  <c r="L61" i="6" s="1"/>
  <c r="N61" i="6"/>
  <c r="N247" i="6"/>
  <c r="N209" i="6"/>
  <c r="N187" i="6"/>
  <c r="J169" i="6"/>
  <c r="L169" i="6" s="1"/>
  <c r="N169" i="6"/>
  <c r="N249" i="6"/>
  <c r="N231" i="6"/>
  <c r="J231" i="6"/>
  <c r="L231" i="6" s="1"/>
  <c r="N201" i="6"/>
  <c r="N181" i="6"/>
  <c r="N161" i="6"/>
  <c r="J364" i="6"/>
  <c r="L364" i="6" s="1"/>
  <c r="N364" i="6"/>
  <c r="N236" i="6"/>
  <c r="N210" i="6"/>
  <c r="N190" i="6"/>
  <c r="N170" i="6"/>
  <c r="N233" i="6"/>
  <c r="N212" i="6"/>
  <c r="N192" i="6"/>
  <c r="N172" i="6"/>
  <c r="N241" i="6"/>
  <c r="N203" i="6"/>
  <c r="N183" i="6"/>
  <c r="N163" i="6"/>
  <c r="N261" i="6"/>
  <c r="N207" i="6"/>
  <c r="J207" i="6"/>
  <c r="L207" i="6" s="1"/>
  <c r="N165" i="6"/>
  <c r="N239" i="6"/>
  <c r="N174" i="6"/>
  <c r="N198" i="6"/>
  <c r="N217" i="6"/>
  <c r="N252" i="6"/>
  <c r="J60" i="6"/>
  <c r="L60" i="6" s="1"/>
  <c r="O60" i="6" s="1"/>
  <c r="O134" i="6"/>
  <c r="O110" i="6"/>
  <c r="O124" i="6"/>
  <c r="O102" i="6"/>
  <c r="N246" i="6"/>
  <c r="N220" i="6"/>
  <c r="N195" i="6"/>
  <c r="N175" i="6"/>
  <c r="N254" i="6"/>
  <c r="N230" i="6"/>
  <c r="J230" i="6"/>
  <c r="L230" i="6" s="1"/>
  <c r="N206" i="6"/>
  <c r="N184" i="6"/>
  <c r="N164" i="6"/>
  <c r="N229" i="6"/>
  <c r="N208" i="6"/>
  <c r="N186" i="6"/>
  <c r="N168" i="6"/>
  <c r="N257" i="6"/>
  <c r="N232" i="6"/>
  <c r="J232" i="6"/>
  <c r="L232" i="6" s="1"/>
  <c r="N262" i="6"/>
  <c r="N147" i="6"/>
  <c r="J147" i="6"/>
  <c r="L147" i="6" s="1"/>
  <c r="N199" i="6"/>
  <c r="J199" i="6"/>
  <c r="L199" i="6" s="1"/>
  <c r="N179" i="6"/>
  <c r="N159" i="6"/>
  <c r="J237" i="6"/>
  <c r="L237" i="6" s="1"/>
  <c r="N237" i="6"/>
  <c r="N149" i="6"/>
  <c r="N194" i="6"/>
  <c r="N244" i="6"/>
  <c r="N176" i="6"/>
  <c r="O138" i="6"/>
  <c r="N240" i="6"/>
  <c r="N211" i="6"/>
  <c r="N191" i="6"/>
  <c r="J191" i="6"/>
  <c r="L191" i="6" s="1"/>
  <c r="N171" i="6"/>
  <c r="N245" i="6"/>
  <c r="J245" i="6"/>
  <c r="L245" i="6" s="1"/>
  <c r="N225" i="6"/>
  <c r="N200" i="6"/>
  <c r="N180" i="6"/>
  <c r="J180" i="6"/>
  <c r="L180" i="6" s="1"/>
  <c r="N157" i="6"/>
  <c r="N224" i="6"/>
  <c r="N202" i="6"/>
  <c r="N182" i="6"/>
  <c r="N162" i="6"/>
  <c r="N253" i="6"/>
  <c r="J253" i="6"/>
  <c r="L253" i="6" s="1"/>
  <c r="N221" i="6"/>
  <c r="N256" i="6"/>
  <c r="O136" i="6"/>
  <c r="O317" i="6"/>
  <c r="N215" i="6"/>
  <c r="N193" i="6"/>
  <c r="N173" i="6"/>
  <c r="N153" i="6"/>
  <c r="J153" i="6"/>
  <c r="L153" i="6" s="1"/>
  <c r="O276" i="6"/>
  <c r="O19" i="6"/>
  <c r="O112" i="6"/>
  <c r="O88" i="6"/>
  <c r="O104" i="6"/>
  <c r="O86" i="6"/>
  <c r="O76" i="6"/>
  <c r="O132" i="6"/>
  <c r="O68" i="6"/>
  <c r="O122" i="6"/>
  <c r="O130" i="6"/>
  <c r="O116" i="6"/>
  <c r="O56" i="7" l="1"/>
  <c r="O94" i="7"/>
  <c r="O25" i="7"/>
  <c r="O238" i="6"/>
  <c r="O19" i="7"/>
  <c r="O160" i="6"/>
  <c r="P40" i="7"/>
  <c r="P222" i="7"/>
  <c r="A18" i="7"/>
  <c r="P207" i="7"/>
  <c r="P96" i="7"/>
  <c r="P182" i="7"/>
  <c r="O60" i="7"/>
  <c r="P46" i="7" s="1"/>
  <c r="O138" i="7"/>
  <c r="P189" i="7"/>
  <c r="P171" i="7"/>
  <c r="J238" i="7"/>
  <c r="N238" i="7"/>
  <c r="N239" i="7" s="1"/>
  <c r="O239" i="7" s="1"/>
  <c r="P239" i="7" s="1"/>
  <c r="D7" i="7" s="1"/>
  <c r="O137" i="7"/>
  <c r="O124" i="7"/>
  <c r="L238" i="7"/>
  <c r="O17" i="7"/>
  <c r="O122" i="7"/>
  <c r="O234" i="7"/>
  <c r="P70" i="7"/>
  <c r="O125" i="7"/>
  <c r="O18" i="6"/>
  <c r="P310" i="6"/>
  <c r="P73" i="6"/>
  <c r="P97" i="6"/>
  <c r="O273" i="6"/>
  <c r="O31" i="6"/>
  <c r="O25" i="6"/>
  <c r="O384" i="6"/>
  <c r="O56" i="6"/>
  <c r="O376" i="6"/>
  <c r="O359" i="6"/>
  <c r="O53" i="6"/>
  <c r="O159" i="6"/>
  <c r="O199" i="6"/>
  <c r="O262" i="6"/>
  <c r="O257" i="6"/>
  <c r="O186" i="6"/>
  <c r="O229" i="6"/>
  <c r="O184" i="6"/>
  <c r="O230" i="6"/>
  <c r="O175" i="6"/>
  <c r="O217" i="6"/>
  <c r="O174" i="6"/>
  <c r="O261" i="6"/>
  <c r="O183" i="6"/>
  <c r="O233" i="6"/>
  <c r="O236" i="6"/>
  <c r="O161" i="6"/>
  <c r="O201" i="6"/>
  <c r="O249" i="6"/>
  <c r="O270" i="6"/>
  <c r="O194" i="6"/>
  <c r="O237" i="6"/>
  <c r="O187" i="6"/>
  <c r="O247" i="6"/>
  <c r="O218" i="6"/>
  <c r="O219" i="6"/>
  <c r="O149" i="6"/>
  <c r="O179" i="6"/>
  <c r="O147" i="6"/>
  <c r="O232" i="6"/>
  <c r="O168" i="6"/>
  <c r="O208" i="6"/>
  <c r="O164" i="6"/>
  <c r="O206" i="6"/>
  <c r="O195" i="6"/>
  <c r="O207" i="6"/>
  <c r="O203" i="6"/>
  <c r="O172" i="6"/>
  <c r="O212" i="6"/>
  <c r="O170" i="6"/>
  <c r="O210" i="6"/>
  <c r="O181" i="6"/>
  <c r="O231" i="6"/>
  <c r="O209" i="6"/>
  <c r="O185" i="6"/>
  <c r="O153" i="6"/>
  <c r="O193" i="6"/>
  <c r="O256" i="6"/>
  <c r="O253" i="6"/>
  <c r="O182" i="6"/>
  <c r="O224" i="6"/>
  <c r="O180" i="6"/>
  <c r="O225" i="6"/>
  <c r="O171" i="6"/>
  <c r="O211" i="6"/>
  <c r="O244" i="6"/>
  <c r="O254" i="6"/>
  <c r="O246" i="6"/>
  <c r="O252" i="6"/>
  <c r="O198" i="6"/>
  <c r="O239" i="6"/>
  <c r="O163" i="6"/>
  <c r="O364" i="6"/>
  <c r="O169" i="6"/>
  <c r="O61" i="6"/>
  <c r="O151" i="6"/>
  <c r="O173" i="6"/>
  <c r="O215" i="6"/>
  <c r="O221" i="6"/>
  <c r="O162" i="6"/>
  <c r="O202" i="6"/>
  <c r="O157" i="6"/>
  <c r="O200" i="6"/>
  <c r="O245" i="6"/>
  <c r="O191" i="6"/>
  <c r="O240" i="6"/>
  <c r="O176" i="6"/>
  <c r="O220" i="6"/>
  <c r="O165" i="6"/>
  <c r="O241" i="6"/>
  <c r="O192" i="6"/>
  <c r="O190" i="6"/>
  <c r="O255" i="6"/>
  <c r="D7" i="1"/>
  <c r="A19" i="7" l="1"/>
  <c r="A22" i="7" s="1"/>
  <c r="P368" i="6"/>
  <c r="P228" i="7"/>
  <c r="N240" i="7"/>
  <c r="N241" i="7" s="1"/>
  <c r="O238" i="7"/>
  <c r="P14" i="7"/>
  <c r="L240" i="7"/>
  <c r="P118" i="7"/>
  <c r="P356" i="6"/>
  <c r="P142" i="6"/>
  <c r="P14" i="6"/>
  <c r="P43" i="6"/>
  <c r="A14" i="6"/>
  <c r="D6" i="1"/>
  <c r="D5" i="1"/>
  <c r="B9" i="6"/>
  <c r="B8" i="6"/>
  <c r="A8" i="6"/>
  <c r="B7" i="6"/>
  <c r="A7" i="6"/>
  <c r="A5" i="6"/>
  <c r="A25" i="7" l="1"/>
  <c r="O240" i="7"/>
  <c r="P240" i="7" s="1"/>
  <c r="D8" i="7" s="1"/>
  <c r="L241" i="7"/>
  <c r="P238" i="7"/>
  <c r="P413" i="6"/>
  <c r="A17" i="6"/>
  <c r="A26" i="7" l="1"/>
  <c r="A18" i="6"/>
  <c r="O241" i="7"/>
  <c r="P241" i="7"/>
  <c r="D6" i="7"/>
  <c r="J413" i="6"/>
  <c r="N413" i="6"/>
  <c r="N414" i="6" s="1"/>
  <c r="O414" i="6" s="1"/>
  <c r="P414" i="6" s="1"/>
  <c r="D7" i="6" s="1"/>
  <c r="L413" i="6"/>
  <c r="L415" i="6" s="1"/>
  <c r="D9" i="7" l="1"/>
  <c r="D12" i="1"/>
  <c r="A27" i="7"/>
  <c r="A19" i="6"/>
  <c r="A22" i="6" s="1"/>
  <c r="N415" i="6"/>
  <c r="N416" i="6" s="1"/>
  <c r="O413" i="6"/>
  <c r="L416" i="6"/>
  <c r="A28" i="7" l="1"/>
  <c r="A25" i="6"/>
  <c r="D6" i="6"/>
  <c r="O415" i="6"/>
  <c r="P415" i="6" s="1"/>
  <c r="D8" i="6" s="1"/>
  <c r="A31" i="7" l="1"/>
  <c r="A26" i="6"/>
  <c r="O416" i="6"/>
  <c r="P416" i="6"/>
  <c r="D9" i="6" s="1"/>
  <c r="D11" i="1" s="1"/>
  <c r="A34" i="7" l="1"/>
  <c r="A29" i="6"/>
  <c r="A30" i="6" s="1"/>
  <c r="A31" i="6" s="1"/>
  <c r="C9" i="1"/>
  <c r="A35" i="7" l="1"/>
  <c r="A38" i="7"/>
  <c r="A43" i="7" s="1"/>
  <c r="A32" i="6"/>
  <c r="A33" i="6" s="1"/>
  <c r="A44" i="7" l="1"/>
  <c r="A49" i="7" s="1"/>
  <c r="A36" i="6"/>
  <c r="A41" i="6" s="1"/>
  <c r="A50" i="7" l="1"/>
  <c r="A53" i="7" s="1"/>
  <c r="A56" i="7" s="1"/>
  <c r="A57" i="7" s="1"/>
  <c r="A60" i="7" s="1"/>
  <c r="A61" i="7" s="1"/>
  <c r="A63" i="7" s="1"/>
  <c r="A64" i="7" s="1"/>
  <c r="A65" i="7" s="1"/>
  <c r="A68" i="7" s="1"/>
  <c r="A73" i="7" s="1"/>
  <c r="A74" i="7" s="1"/>
  <c r="A75" i="7" s="1"/>
  <c r="A76" i="7" s="1"/>
  <c r="A77" i="7" s="1"/>
  <c r="A80" i="7" s="1"/>
  <c r="A81" i="7" s="1"/>
  <c r="A82" i="7" s="1"/>
  <c r="A83" i="7" s="1"/>
  <c r="A86" i="7" s="1"/>
  <c r="A87" i="7" s="1"/>
  <c r="A90" i="7" s="1"/>
  <c r="A91" i="7" s="1"/>
  <c r="A94" i="7" s="1"/>
  <c r="A99" i="7" s="1"/>
  <c r="A100" i="7" s="1"/>
  <c r="A101" i="7" s="1"/>
  <c r="A102" i="7" s="1"/>
  <c r="A103" i="7" s="1"/>
  <c r="A104" i="7" s="1"/>
  <c r="A105" i="7" s="1"/>
  <c r="A106" i="7" s="1"/>
  <c r="A107" i="7" s="1"/>
  <c r="A108" i="7" s="1"/>
  <c r="A111" i="7" s="1"/>
  <c r="A114" i="7" s="1"/>
  <c r="A115" i="7" s="1"/>
  <c r="A116" i="7" s="1"/>
  <c r="A122" i="7" s="1"/>
  <c r="A123" i="7" s="1"/>
  <c r="A124" i="7" s="1"/>
  <c r="A125" i="7" s="1"/>
  <c r="A126" i="7" s="1"/>
  <c r="A127" i="7" s="1"/>
  <c r="A128" i="7" s="1"/>
  <c r="A131" i="7" s="1"/>
  <c r="A132" i="7" s="1"/>
  <c r="A133" i="7" s="1"/>
  <c r="A134" i="7" s="1"/>
  <c r="A135" i="7" s="1"/>
  <c r="A137" i="7" s="1"/>
  <c r="A138" i="7" s="1"/>
  <c r="A139" i="7" s="1"/>
  <c r="A142" i="7" s="1"/>
  <c r="A143" i="7" s="1"/>
  <c r="A145" i="7" s="1"/>
  <c r="A146" i="7" s="1"/>
  <c r="A149" i="7" s="1"/>
  <c r="A152" i="7" s="1"/>
  <c r="A155" i="7" s="1"/>
  <c r="A156" i="7" s="1"/>
  <c r="A157" i="7" s="1"/>
  <c r="A160" i="7" s="1"/>
  <c r="A163" i="7" s="1"/>
  <c r="A166" i="7" s="1"/>
  <c r="A168" i="7" s="1"/>
  <c r="A169" i="7" s="1"/>
  <c r="A173" i="7" s="1"/>
  <c r="A174" i="7" s="1"/>
  <c r="A175" i="7" s="1"/>
  <c r="A177" i="7" s="1"/>
  <c r="A178" i="7" s="1"/>
  <c r="A179" i="7" s="1"/>
  <c r="A180" i="7" s="1"/>
  <c r="A184" i="7" s="1"/>
  <c r="A185" i="7" s="1"/>
  <c r="A186" i="7" s="1"/>
  <c r="A187" i="7" s="1"/>
  <c r="A191" i="7" s="1"/>
  <c r="A193" i="7" s="1"/>
  <c r="A195" i="7" s="1"/>
  <c r="A196" i="7" s="1"/>
  <c r="A197" i="7" s="1"/>
  <c r="A198" i="7" s="1"/>
  <c r="A200" i="7" s="1"/>
  <c r="A201" i="7" s="1"/>
  <c r="A203" i="7" s="1"/>
  <c r="A204" i="7" s="1"/>
  <c r="A205" i="7" s="1"/>
  <c r="A209" i="7" s="1"/>
  <c r="A210" i="7" s="1"/>
  <c r="A211" i="7" s="1"/>
  <c r="A212" i="7" s="1"/>
  <c r="A213" i="7" s="1"/>
  <c r="A214" i="7" s="1"/>
  <c r="A216" i="7" s="1"/>
  <c r="A220" i="7" s="1"/>
  <c r="A224" i="7" s="1"/>
  <c r="A226" i="7" s="1"/>
  <c r="A231" i="7" s="1"/>
  <c r="A232" i="7" s="1"/>
  <c r="A234" i="7" s="1"/>
  <c r="A236" i="7" s="1"/>
  <c r="A46" i="6"/>
  <c r="A49" i="6" s="1"/>
  <c r="A52" i="6" s="1"/>
  <c r="A53" i="6" s="1"/>
  <c r="A56" i="6" s="1"/>
  <c r="A57" i="6" s="1"/>
  <c r="A60" i="6" s="1"/>
  <c r="A61" i="6" s="1"/>
  <c r="A62" i="6" s="1"/>
  <c r="A65" i="6" s="1"/>
  <c r="A68" i="6" s="1"/>
  <c r="A69" i="6" s="1"/>
  <c r="A70" i="6" s="1"/>
  <c r="A71" i="6" s="1"/>
  <c r="A76" i="6" s="1"/>
  <c r="A77" i="6" s="1"/>
  <c r="A78" i="6" s="1"/>
  <c r="A79" i="6" s="1"/>
  <c r="A80" i="6" s="1"/>
  <c r="A81" i="6" s="1"/>
  <c r="A82" i="6" s="1"/>
  <c r="A83" i="6" s="1"/>
  <c r="A86" i="6" s="1"/>
  <c r="A87" i="6" s="1"/>
  <c r="A88" i="6" s="1"/>
  <c r="A89" i="6" s="1"/>
  <c r="A90" i="6" s="1"/>
  <c r="A91" i="6" s="1"/>
  <c r="A94" i="6" s="1"/>
  <c r="A95" i="6" s="1"/>
  <c r="A100" i="6" s="1"/>
  <c r="A101" i="6" s="1"/>
  <c r="A102" i="6" s="1"/>
  <c r="A103" i="6" s="1"/>
  <c r="A104" i="6" s="1"/>
  <c r="A105" i="6" s="1"/>
  <c r="A106" i="6" s="1"/>
  <c r="A107" i="6" s="1"/>
  <c r="A108" i="6" s="1"/>
  <c r="A109" i="6" s="1"/>
  <c r="A110" i="6" s="1"/>
  <c r="A111" i="6" s="1"/>
  <c r="A112" i="6" s="1"/>
  <c r="A113" i="6" s="1"/>
  <c r="A114" i="6" s="1"/>
  <c r="A115" i="6" s="1"/>
  <c r="A116" i="6" s="1"/>
  <c r="A119" i="6" s="1"/>
  <c r="A122" i="6" s="1"/>
  <c r="A123" i="6" s="1"/>
  <c r="A124" i="6" s="1"/>
  <c r="A127" i="6" s="1"/>
  <c r="A128" i="6" s="1"/>
  <c r="A129" i="6" s="1"/>
  <c r="A130" i="6" s="1"/>
  <c r="A131" i="6" s="1"/>
  <c r="A132" i="6" s="1"/>
  <c r="A133" i="6" s="1"/>
  <c r="A134" i="6" s="1"/>
  <c r="A135" i="6" s="1"/>
  <c r="A136" i="6" s="1"/>
  <c r="A137" i="6" s="1"/>
  <c r="A138" i="6" s="1"/>
  <c r="A140" i="6" s="1"/>
  <c r="A145" i="6" s="1"/>
  <c r="A146" i="6" s="1"/>
  <c r="A147" i="6" s="1"/>
  <c r="A148" i="6" s="1"/>
  <c r="A149" i="6" s="1"/>
  <c r="A150" i="6" s="1"/>
  <c r="A151" i="6" s="1"/>
  <c r="A152" i="6" s="1"/>
  <c r="A153" i="6" s="1"/>
  <c r="A154" i="6" s="1"/>
  <c r="A156" i="6" s="1"/>
  <c r="A157" i="6" s="1"/>
  <c r="A158" i="6" s="1"/>
  <c r="A159" i="6" s="1"/>
  <c r="A160" i="6" s="1"/>
  <c r="A161" i="6" s="1"/>
  <c r="A162" i="6" s="1"/>
  <c r="A163" i="6" s="1"/>
  <c r="A164" i="6" s="1"/>
  <c r="A165" i="6" s="1"/>
  <c r="A167" i="6" s="1"/>
  <c r="A168" i="6" s="1"/>
  <c r="A169" i="6" s="1"/>
  <c r="A170" i="6" s="1"/>
  <c r="A171" i="6" s="1"/>
  <c r="A172" i="6" s="1"/>
  <c r="A173" i="6" s="1"/>
  <c r="A174" i="6" s="1"/>
  <c r="A175" i="6" s="1"/>
  <c r="A176" i="6" s="1"/>
  <c r="A178" i="6" s="1"/>
  <c r="A179" i="6" s="1"/>
  <c r="A180" i="6" s="1"/>
  <c r="A181" i="6" s="1"/>
  <c r="A182" i="6" s="1"/>
  <c r="A183" i="6" s="1"/>
  <c r="A184" i="6" s="1"/>
  <c r="A185" i="6" s="1"/>
  <c r="A186" i="6" s="1"/>
  <c r="A187" i="6" s="1"/>
  <c r="A189" i="6" s="1"/>
  <c r="A190" i="6" s="1"/>
  <c r="A191" i="6" s="1"/>
  <c r="A192" i="6" s="1"/>
  <c r="A193" i="6" s="1"/>
  <c r="A194" i="6" s="1"/>
  <c r="A195" i="6" s="1"/>
  <c r="A197" i="6" s="1"/>
  <c r="A198" i="6" s="1"/>
  <c r="A199" i="6" s="1"/>
  <c r="A200" i="6" s="1"/>
  <c r="A201" i="6" s="1"/>
  <c r="A202" i="6" s="1"/>
  <c r="A203" i="6" s="1"/>
  <c r="A205" i="6" s="1"/>
  <c r="A206" i="6" s="1"/>
  <c r="A207" i="6" s="1"/>
  <c r="A208" i="6" s="1"/>
  <c r="A209" i="6" s="1"/>
  <c r="A210" i="6" s="1"/>
  <c r="A211" i="6" s="1"/>
  <c r="A212" i="6" s="1"/>
  <c r="A214" i="6" s="1"/>
  <c r="A215" i="6" s="1"/>
  <c r="A216" i="6" s="1"/>
  <c r="A217" i="6" s="1"/>
  <c r="A218" i="6" s="1"/>
  <c r="A219" i="6" s="1"/>
  <c r="A220" i="6" s="1"/>
  <c r="A221" i="6" s="1"/>
  <c r="A224" i="6" s="1"/>
  <c r="A225" i="6" s="1"/>
  <c r="A226" i="6" s="1"/>
  <c r="A228" i="6" s="1"/>
  <c r="A229" i="6" s="1"/>
  <c r="A230" i="6" s="1"/>
  <c r="A231" i="6" s="1"/>
  <c r="A232" i="6" s="1"/>
  <c r="A233" i="6" s="1"/>
  <c r="A235" i="6" s="1"/>
  <c r="A236" i="6" s="1"/>
  <c r="A237" i="6" s="1"/>
  <c r="A238" i="6" s="1"/>
  <c r="A239" i="6" s="1"/>
  <c r="A240" i="6" s="1"/>
  <c r="A241" i="6" s="1"/>
  <c r="A243" i="6" s="1"/>
  <c r="A244" i="6" s="1"/>
  <c r="A245" i="6" s="1"/>
  <c r="A246" i="6" s="1"/>
  <c r="A247" i="6" s="1"/>
  <c r="A248" i="6" s="1"/>
  <c r="A249" i="6" s="1"/>
  <c r="A251" i="6" s="1"/>
  <c r="A252" i="6" s="1"/>
  <c r="A253" i="6" s="1"/>
  <c r="A254" i="6" s="1"/>
  <c r="A255" i="6" s="1"/>
  <c r="A256" i="6" s="1"/>
  <c r="A257" i="6" s="1"/>
  <c r="A260" i="6" s="1"/>
  <c r="A261" i="6" s="1"/>
  <c r="A262" i="6" s="1"/>
  <c r="A265" i="6" s="1"/>
  <c r="A266" i="6" s="1"/>
  <c r="A267" i="6" s="1"/>
  <c r="A270" i="6" s="1"/>
  <c r="A273" i="6" s="1"/>
  <c r="A276" i="6" s="1"/>
  <c r="A279" i="6" s="1"/>
  <c r="A282" i="6" s="1"/>
  <c r="A285" i="6" s="1"/>
  <c r="A286" i="6" s="1"/>
  <c r="A289" i="6" s="1"/>
  <c r="A291" i="6" s="1"/>
  <c r="A292" i="6" s="1"/>
  <c r="A296" i="6" s="1"/>
  <c r="A297" i="6" s="1"/>
  <c r="A298" i="6" s="1"/>
  <c r="A299" i="6" s="1"/>
  <c r="A303" i="6" s="1"/>
  <c r="A304" i="6" s="1"/>
  <c r="A305" i="6" s="1"/>
  <c r="A306" i="6" s="1"/>
  <c r="A307" i="6" s="1"/>
  <c r="A308" i="6" s="1"/>
  <c r="A312" i="6" s="1"/>
  <c r="A313" i="6" s="1"/>
  <c r="A315" i="6" s="1"/>
  <c r="A316" i="6" s="1"/>
  <c r="A317" i="6" s="1"/>
  <c r="A318" i="6" s="1"/>
  <c r="A319" i="6" s="1"/>
  <c r="A320" i="6" s="1"/>
  <c r="A321" i="6" s="1"/>
  <c r="A322" i="6" s="1"/>
  <c r="A323" i="6" s="1"/>
  <c r="A324" i="6" s="1"/>
  <c r="A325" i="6" s="1"/>
  <c r="A326" i="6" s="1"/>
  <c r="A327" i="6" s="1"/>
  <c r="A328" i="6" s="1"/>
  <c r="A329" i="6" s="1"/>
  <c r="A330" i="6" s="1"/>
  <c r="A331" i="6" s="1"/>
  <c r="A333" i="6" s="1"/>
  <c r="A334" i="6" s="1"/>
  <c r="A335" i="6" s="1"/>
  <c r="A339" i="6" s="1"/>
  <c r="A340" i="6" s="1"/>
  <c r="A341" i="6" s="1"/>
  <c r="A342" i="6" s="1"/>
  <c r="A343" i="6" s="1"/>
  <c r="A344" i="6" s="1"/>
  <c r="A346" i="6" s="1"/>
  <c r="A350" i="6" s="1"/>
  <c r="A354" i="6" s="1"/>
  <c r="A359" i="6" l="1"/>
  <c r="A361" i="6" s="1"/>
  <c r="A362" i="6" s="1"/>
  <c r="A364" i="6" s="1"/>
  <c r="A366" i="6" s="1"/>
  <c r="A371" i="6" s="1"/>
  <c r="A372" i="6" s="1"/>
  <c r="A373" i="6" s="1"/>
  <c r="A376" i="6" s="1"/>
  <c r="A377" i="6" s="1"/>
  <c r="A378" i="6" s="1"/>
  <c r="A381" i="6" s="1"/>
  <c r="A384" i="6" s="1"/>
  <c r="A385" i="6" s="1"/>
  <c r="A386" i="6" s="1"/>
  <c r="A389" i="6" s="1"/>
  <c r="A390" i="6" s="1"/>
  <c r="A393" i="6" s="1"/>
  <c r="A394" i="6" s="1"/>
  <c r="A395" i="6" s="1"/>
  <c r="A396" i="6" s="1"/>
  <c r="A398" i="6" s="1"/>
  <c r="A401" i="6" s="1"/>
  <c r="A404" i="6" s="1"/>
  <c r="A405" i="6" s="1"/>
  <c r="A406" i="6" s="1"/>
  <c r="A407" i="6" s="1"/>
  <c r="A410" i="6" s="1"/>
  <c r="A411" i="6" s="1"/>
</calcChain>
</file>

<file path=xl/sharedStrings.xml><?xml version="1.0" encoding="utf-8"?>
<sst xmlns="http://schemas.openxmlformats.org/spreadsheetml/2006/main" count="1378" uniqueCount="376">
  <si>
    <t>Project Cost Summary</t>
  </si>
  <si>
    <t>Date:</t>
  </si>
  <si>
    <t>Project Title:</t>
  </si>
  <si>
    <t>Project Location:</t>
  </si>
  <si>
    <t>Total Cost</t>
  </si>
  <si>
    <t>Note: Changing values here will change the values in complete project</t>
  </si>
  <si>
    <t>Unit Wastage Percentages</t>
  </si>
  <si>
    <t>Unit</t>
  </si>
  <si>
    <t>Wastage</t>
  </si>
  <si>
    <t>EA</t>
  </si>
  <si>
    <t>LF</t>
  </si>
  <si>
    <t>SF</t>
  </si>
  <si>
    <t>LS</t>
  </si>
  <si>
    <t>LBS</t>
  </si>
  <si>
    <t>TONS</t>
  </si>
  <si>
    <t>CY</t>
  </si>
  <si>
    <t>Div No:</t>
  </si>
  <si>
    <t>Description</t>
  </si>
  <si>
    <t>Sub-Total=</t>
  </si>
  <si>
    <t>Material Tax=</t>
  </si>
  <si>
    <t>Overhead and Profit=</t>
  </si>
  <si>
    <t>Sr#</t>
  </si>
  <si>
    <t>Ref Sheet</t>
  </si>
  <si>
    <t>Quantity</t>
  </si>
  <si>
    <t>Wastage %</t>
  </si>
  <si>
    <t>Quantity With Wastage</t>
  </si>
  <si>
    <t>Unit Labor Hour</t>
  </si>
  <si>
    <t>Total Labor Hour</t>
  </si>
  <si>
    <t>Per Hour Labor Rate</t>
  </si>
  <si>
    <t>Total Labor Hour Rate</t>
  </si>
  <si>
    <t>Unit Material Cost</t>
  </si>
  <si>
    <t>Total Material Cost</t>
  </si>
  <si>
    <t>Trade Cost</t>
  </si>
  <si>
    <t>MATERIAL TAKEOFF AND COST SUMMARY</t>
  </si>
  <si>
    <t>Total Bid=</t>
  </si>
  <si>
    <t>No. of Floors=</t>
  </si>
  <si>
    <t>Total Labor Cost</t>
  </si>
  <si>
    <t>Item Cost</t>
  </si>
  <si>
    <t>Total=</t>
  </si>
  <si>
    <t>Div-32</t>
  </si>
  <si>
    <t>Concrete Stairs</t>
  </si>
  <si>
    <t>SY</t>
  </si>
  <si>
    <t>Div-31</t>
  </si>
  <si>
    <t>Earthwork</t>
  </si>
  <si>
    <t>Concrete Slab</t>
  </si>
  <si>
    <t>4" Concrete slab</t>
  </si>
  <si>
    <t>6" Compacted granular fill</t>
  </si>
  <si>
    <t>6 Mil poly sealed vapor barrier</t>
  </si>
  <si>
    <t>Compaction of subgrade</t>
  </si>
  <si>
    <t>Continuous Footing</t>
  </si>
  <si>
    <t>1'-4" x 8" Continuous footing with reinforcement</t>
  </si>
  <si>
    <t xml:space="preserve">Concrete Wall   </t>
  </si>
  <si>
    <t>8" Concrete wall with reinforcement</t>
  </si>
  <si>
    <t>2 Coats of dampproofing</t>
  </si>
  <si>
    <t>Concrete Pad</t>
  </si>
  <si>
    <t>3'-6" x 8'-0" x 18" Concrete pad with reinforcement</t>
  </si>
  <si>
    <t>2'-8" x 2'-0" x 12" Concrete pad with reinforcement</t>
  </si>
  <si>
    <t>2'-8" x 3'-2" x 12" Concrete pad with reinforcement</t>
  </si>
  <si>
    <t>2'-5" x 3'-8" x 18" Concrete pad with reinforcement</t>
  </si>
  <si>
    <t>2'-8" x 2'-8" x 12" Concrete pad with reinforcement</t>
  </si>
  <si>
    <t xml:space="preserve">Concrete Column   </t>
  </si>
  <si>
    <t>Concrete column (10'-0" High)</t>
  </si>
  <si>
    <t>Div-04</t>
  </si>
  <si>
    <t>Masonry</t>
  </si>
  <si>
    <t>Natural stone - Warm grey</t>
  </si>
  <si>
    <t>Wooden Joists</t>
  </si>
  <si>
    <r>
      <t>11-7/8" I joists at 16" O.C.</t>
    </r>
    <r>
      <rPr>
        <b/>
        <sz val="11"/>
        <color theme="1"/>
        <rFont val="Calibri"/>
        <family val="2"/>
        <scheme val="minor"/>
      </rPr>
      <t xml:space="preserve"> (2841 SF)</t>
    </r>
  </si>
  <si>
    <t>Roof Trusses</t>
  </si>
  <si>
    <r>
      <t xml:space="preserve">Engineered roof trusses at 24" O.C. </t>
    </r>
    <r>
      <rPr>
        <b/>
        <sz val="11"/>
        <color theme="1"/>
        <rFont val="Calibri"/>
        <family val="2"/>
        <scheme val="minor"/>
      </rPr>
      <t>(3399 SF)</t>
    </r>
  </si>
  <si>
    <t>Plywood Sheathing</t>
  </si>
  <si>
    <t xml:space="preserve">F1: 3/4" Plywood glued and screwed   </t>
  </si>
  <si>
    <t>Sheathing, as per structure</t>
  </si>
  <si>
    <t>Gypsum Board</t>
  </si>
  <si>
    <t>1/2" Gypsum ceiling board</t>
  </si>
  <si>
    <t>4' High gypsum board soffit</t>
  </si>
  <si>
    <t>Total EA:</t>
  </si>
  <si>
    <t>Taping</t>
  </si>
  <si>
    <t>Mudding Compound</t>
  </si>
  <si>
    <t>lbs</t>
  </si>
  <si>
    <t>Screws</t>
  </si>
  <si>
    <t>Wooden Header</t>
  </si>
  <si>
    <t>Engineered header</t>
  </si>
  <si>
    <t>Wooden Stairs</t>
  </si>
  <si>
    <t xml:space="preserve">6 EA risers @ 7-1/4" and 5 Treads @10" </t>
  </si>
  <si>
    <t xml:space="preserve">17 EA risers @ 7-1/4" and 16 Treads @10" </t>
  </si>
  <si>
    <t xml:space="preserve">7 EA risers @ 7-1/4" and 6 Treads @10" </t>
  </si>
  <si>
    <t>6" High timber header - Light brown stain</t>
  </si>
  <si>
    <t>Roofing</t>
  </si>
  <si>
    <t>Asphalt shingles</t>
  </si>
  <si>
    <t>Roofing underlayment</t>
  </si>
  <si>
    <t>230mm Loose fill insulation</t>
  </si>
  <si>
    <t>215mm Sprayed foam insulation</t>
  </si>
  <si>
    <t>Vapor barrier</t>
  </si>
  <si>
    <t>6Mil poly vapor barrier</t>
  </si>
  <si>
    <t>Interior air film</t>
  </si>
  <si>
    <t>Exterior air film</t>
  </si>
  <si>
    <t>Flashings</t>
  </si>
  <si>
    <t>Hip and valley flashing</t>
  </si>
  <si>
    <t>Ridge flashing</t>
  </si>
  <si>
    <t>Sealant and backer rod at the perimeter of the roofing</t>
  </si>
  <si>
    <t>Metal drip edge</t>
  </si>
  <si>
    <t>Continuous flashing</t>
  </si>
  <si>
    <t>Counterflashing</t>
  </si>
  <si>
    <t>Gutter &amp; Downspout</t>
  </si>
  <si>
    <t>Gutter</t>
  </si>
  <si>
    <t>Downspout</t>
  </si>
  <si>
    <t>Doors</t>
  </si>
  <si>
    <t>7/0 x 8/0 double leaf door</t>
  </si>
  <si>
    <t>8/0 x 8/0 Sliding door</t>
  </si>
  <si>
    <t>18/0 x 8/0 Black steel overhead door</t>
  </si>
  <si>
    <t>3/6 x 8/0 Single leaf door</t>
  </si>
  <si>
    <t>6/10 x 1/8 Transom</t>
  </si>
  <si>
    <t>3/4 x 8/0 Single leaf door</t>
  </si>
  <si>
    <t>2/0 x 8/0 Sidelight</t>
  </si>
  <si>
    <t>2/8 x 8/0 Single leaf door</t>
  </si>
  <si>
    <t>3/0 x 8/0 Arch doorway</t>
  </si>
  <si>
    <t>3/6 x 8/0 Arch doorway</t>
  </si>
  <si>
    <t>2/9 x 8/0 Arch doorway</t>
  </si>
  <si>
    <t>4/0 x 8/0 Double leaf door</t>
  </si>
  <si>
    <t>1/8 x 8/0 Sidelight</t>
  </si>
  <si>
    <t>3/0 x 8/0 Solid core self closing weather stripped door</t>
  </si>
  <si>
    <t>7/6 x 8/0 Door</t>
  </si>
  <si>
    <t>7/0 x 8/0 Sliding door</t>
  </si>
  <si>
    <t>3/0 x 8/0 Single leaf door</t>
  </si>
  <si>
    <t>Door Hardwares</t>
  </si>
  <si>
    <t>Allowances for the door hardwares</t>
  </si>
  <si>
    <t>Storefronts</t>
  </si>
  <si>
    <t>8/0 x 18/0 Storefront</t>
  </si>
  <si>
    <t>9/0 x 8/0 Storefront</t>
  </si>
  <si>
    <t>7/0 x 5/9 Storefront</t>
  </si>
  <si>
    <t>Windows (All Windows are black vinyl windows)</t>
  </si>
  <si>
    <t>7/9 x 4/9 Window</t>
  </si>
  <si>
    <t>5/0 x 4/9 Window</t>
  </si>
  <si>
    <t>7/6 x 3/2 Window</t>
  </si>
  <si>
    <t>3/2 x 4/9 Window</t>
  </si>
  <si>
    <t>7/6 x 4/9 Window</t>
  </si>
  <si>
    <t>10/6 x 10/6 Window</t>
  </si>
  <si>
    <t>9/0 x 6/3 Window</t>
  </si>
  <si>
    <t>3/0 x 6/3 Window</t>
  </si>
  <si>
    <t>6/0 x 5/3 Window</t>
  </si>
  <si>
    <t>7/6 x 5/3 Window</t>
  </si>
  <si>
    <t>2/6 X 5/3 Window</t>
  </si>
  <si>
    <t>3/0 x 6/0 Window</t>
  </si>
  <si>
    <t>Smart board-Painted black</t>
  </si>
  <si>
    <t>Walls</t>
  </si>
  <si>
    <t>E1 Exterior wall (14'-0" High)</t>
  </si>
  <si>
    <t>HT</t>
  </si>
  <si>
    <t>1/2" Gypsum board on one side</t>
  </si>
  <si>
    <t>2x6 Wood studs at 16" O.C.</t>
  </si>
  <si>
    <t>2x6 Top plate</t>
  </si>
  <si>
    <t>2x6 Bottom plate</t>
  </si>
  <si>
    <t>Acoustical sealant at the perimeter of the wall</t>
  </si>
  <si>
    <t>R22 Batt insulation</t>
  </si>
  <si>
    <t>3/8" Sheathing on other side</t>
  </si>
  <si>
    <t>2 Layers of building paper</t>
  </si>
  <si>
    <t>E1 Exterior wall (10'-0" High)</t>
  </si>
  <si>
    <t>E2 Exterior wall (10'-0" High)</t>
  </si>
  <si>
    <t>E2 Exterior wall (14'-0" High)</t>
  </si>
  <si>
    <t>E3 Exterior wall (14'-0" High)</t>
  </si>
  <si>
    <t>3/8" Sheathing on one side</t>
  </si>
  <si>
    <t>E3 Exterior wall (10'-0" High)</t>
  </si>
  <si>
    <t>E4 Exterior wall (10'-0" High)</t>
  </si>
  <si>
    <t xml:space="preserve">2x6 Wood studs at 16" O.C. </t>
  </si>
  <si>
    <t xml:space="preserve">E4 wall type </t>
  </si>
  <si>
    <t>1/2" Gypsum board on both side</t>
  </si>
  <si>
    <t>W1 Interior wall (10'-0" High)</t>
  </si>
  <si>
    <t>1/2" Gypsum board on both sides</t>
  </si>
  <si>
    <t>2x4 Wood studs at 16" O.C.</t>
  </si>
  <si>
    <t>2x4 Top plate</t>
  </si>
  <si>
    <t>2x4 Bottom plate</t>
  </si>
  <si>
    <t>W2 Interior wall (10'-0" High)</t>
  </si>
  <si>
    <t>W3 Interior wall (10'-0" High)</t>
  </si>
  <si>
    <t>R22 Batt insulation (Min. 89 absorptive material)</t>
  </si>
  <si>
    <t>6" Pony wall with insulation (4'-8" High)</t>
  </si>
  <si>
    <t>Exterior Finishes</t>
  </si>
  <si>
    <t>Asphalt shingles sidings</t>
  </si>
  <si>
    <t xml:space="preserve">Stucco </t>
  </si>
  <si>
    <t>8" Smart board - Painted black</t>
  </si>
  <si>
    <t xml:space="preserve">Wall Paint   </t>
  </si>
  <si>
    <t>Wall paint</t>
  </si>
  <si>
    <t xml:space="preserve">Wall Tiles  </t>
  </si>
  <si>
    <t xml:space="preserve">Wall tiles </t>
  </si>
  <si>
    <t>Ceiling Finishes</t>
  </si>
  <si>
    <t>HVAC/Drop ceiling</t>
  </si>
  <si>
    <t>Floor Finishes</t>
  </si>
  <si>
    <t>Wall Base</t>
  </si>
  <si>
    <t>Ceiling Paint</t>
  </si>
  <si>
    <t>Door Paint</t>
  </si>
  <si>
    <t>Door trim</t>
  </si>
  <si>
    <t>Paint on door trim</t>
  </si>
  <si>
    <t>Specialties</t>
  </si>
  <si>
    <t>Coat hook</t>
  </si>
  <si>
    <t>Tissue holder</t>
  </si>
  <si>
    <t>36" Horizontal grab bar</t>
  </si>
  <si>
    <t>Soap dispenser</t>
  </si>
  <si>
    <t>Range</t>
  </si>
  <si>
    <t>Trash bin</t>
  </si>
  <si>
    <t>Washer</t>
  </si>
  <si>
    <t>Dryer</t>
  </si>
  <si>
    <t>Fridge</t>
  </si>
  <si>
    <t>Microwave oven</t>
  </si>
  <si>
    <t>Furnishes</t>
  </si>
  <si>
    <t>Solid surface countertop</t>
  </si>
  <si>
    <t>Quartz countertop</t>
  </si>
  <si>
    <t>4" Solid surface Backsplash</t>
  </si>
  <si>
    <t>4" quartz backsplash</t>
  </si>
  <si>
    <t>Kitchen base cabinets</t>
  </si>
  <si>
    <t>Island base cabinets</t>
  </si>
  <si>
    <t>2' deep x 9' high open shelves</t>
  </si>
  <si>
    <t>2'-2" Deep closets</t>
  </si>
  <si>
    <t>1'-6" Deep storage in garage</t>
  </si>
  <si>
    <t>2' deep storage in garage</t>
  </si>
  <si>
    <t>1'-6" Deep linen cabinet</t>
  </si>
  <si>
    <t>Vanity cabinets</t>
  </si>
  <si>
    <t xml:space="preserve">1'-0" Deep storage in restroom </t>
  </si>
  <si>
    <t>2'-0" Deep x 9'-0" High  walk in closets with rod and shelving</t>
  </si>
  <si>
    <t>2'-0" Deep fold space (Millwork)</t>
  </si>
  <si>
    <t>2'-0" Deep hang space (Millwork)</t>
  </si>
  <si>
    <t>Kitchen upper cabinets</t>
  </si>
  <si>
    <t>Bar/coffee area base cabinets</t>
  </si>
  <si>
    <t>2' deep work bench in garage</t>
  </si>
  <si>
    <t>2'-0" Wide x 7'-2" Long x 6'-0" High Wardrobe</t>
  </si>
  <si>
    <t>2'-0" Wide x 9'-6" Long x 6'-0" High Wardrobe</t>
  </si>
  <si>
    <t>2'-8" x 1'-8" Broom closet</t>
  </si>
  <si>
    <t>Plumbing</t>
  </si>
  <si>
    <t>Kitchen sink</t>
  </si>
  <si>
    <t>Sink with faucet</t>
  </si>
  <si>
    <t>Water closet</t>
  </si>
  <si>
    <t>Tub/Shower</t>
  </si>
  <si>
    <t>Bath tub</t>
  </si>
  <si>
    <t>Shower enclosure</t>
  </si>
  <si>
    <r>
      <t xml:space="preserve">Allowances for the plumbing pipes </t>
    </r>
    <r>
      <rPr>
        <b/>
        <sz val="11"/>
        <color theme="1"/>
        <rFont val="Calibri"/>
        <family val="2"/>
        <scheme val="minor"/>
      </rPr>
      <t>(570 SF)</t>
    </r>
  </si>
  <si>
    <t>Mechanical</t>
  </si>
  <si>
    <r>
      <t>Allowances for the mechanical work</t>
    </r>
    <r>
      <rPr>
        <b/>
        <sz val="11"/>
        <color theme="1"/>
        <rFont val="Calibri"/>
        <family val="2"/>
        <scheme val="minor"/>
      </rPr>
      <t xml:space="preserve"> (3450 SF)</t>
    </r>
  </si>
  <si>
    <r>
      <t xml:space="preserve">Allowances for the electrical work </t>
    </r>
    <r>
      <rPr>
        <b/>
        <sz val="11"/>
        <color theme="1"/>
        <rFont val="Calibri"/>
        <family val="2"/>
        <scheme val="minor"/>
      </rPr>
      <t>(3450 SF)</t>
    </r>
  </si>
  <si>
    <t>2'-0" Cut under building pad</t>
  </si>
  <si>
    <t>Cut</t>
  </si>
  <si>
    <t>Fill</t>
  </si>
  <si>
    <t>Soil Import</t>
  </si>
  <si>
    <t>Clearing and grubbing</t>
  </si>
  <si>
    <t xml:space="preserve">Concrete Driveway  </t>
  </si>
  <si>
    <t>4" Concrete driveway</t>
  </si>
  <si>
    <t>4" Gravels base</t>
  </si>
  <si>
    <t xml:space="preserve">Concrete Pavement  </t>
  </si>
  <si>
    <t>(8" Thk) Concrete Driveway</t>
  </si>
  <si>
    <t>#4 Bars @ 12" O.C.E.W.</t>
  </si>
  <si>
    <t>(4" Thk) Aggregate Base</t>
  </si>
  <si>
    <t xml:space="preserve">Concrete Pavers  </t>
  </si>
  <si>
    <t>Concrete pavers</t>
  </si>
  <si>
    <t xml:space="preserve">Concrete Walkway   </t>
  </si>
  <si>
    <t>6" Concrete walkway</t>
  </si>
  <si>
    <t>6" Gravel base</t>
  </si>
  <si>
    <t>Gravel parking</t>
  </si>
  <si>
    <t>Gravels parking</t>
  </si>
  <si>
    <t xml:space="preserve">Concrete Sidewalk   </t>
  </si>
  <si>
    <t xml:space="preserve">(4" Thk) Concrete Sidewalk </t>
  </si>
  <si>
    <t>Welded Wire Mesh</t>
  </si>
  <si>
    <t>(4" Thk) 3/4" Crushed Stone</t>
  </si>
  <si>
    <t xml:space="preserve">Curb </t>
  </si>
  <si>
    <t>Concrete stairs</t>
  </si>
  <si>
    <t xml:space="preserve">landscape Area  </t>
  </si>
  <si>
    <t>Landscape area (SOD)</t>
  </si>
  <si>
    <t>Mulch</t>
  </si>
  <si>
    <t>Trees</t>
  </si>
  <si>
    <t>Shrubs</t>
  </si>
  <si>
    <t>Retaining Wall</t>
  </si>
  <si>
    <t>4'-0"  High retaining wall with reinforcement</t>
  </si>
  <si>
    <t>42" High guard rail</t>
  </si>
  <si>
    <t>Div-06</t>
  </si>
  <si>
    <t>Wood, Plastics and Composites</t>
  </si>
  <si>
    <t>Thermal &amp; Moisture Protection</t>
  </si>
  <si>
    <t>Div-07</t>
  </si>
  <si>
    <t>Openings</t>
  </si>
  <si>
    <t>Div-08</t>
  </si>
  <si>
    <t>Div-09</t>
  </si>
  <si>
    <t>Finishes</t>
  </si>
  <si>
    <t>Div-03</t>
  </si>
  <si>
    <t>Concrete</t>
  </si>
  <si>
    <t>Brotherston Residence</t>
  </si>
  <si>
    <t>Lot 36 Vista Naramata Beachlands</t>
  </si>
  <si>
    <t>Covered area=</t>
  </si>
  <si>
    <t>Gross area=</t>
  </si>
  <si>
    <t>Div-10</t>
  </si>
  <si>
    <t>Equipments</t>
  </si>
  <si>
    <t>Div-11</t>
  </si>
  <si>
    <t>Div-12</t>
  </si>
  <si>
    <t>Div-22</t>
  </si>
  <si>
    <t>Div-23</t>
  </si>
  <si>
    <t>Div-26</t>
  </si>
  <si>
    <t>Electrical</t>
  </si>
  <si>
    <t>Site Improvements</t>
  </si>
  <si>
    <r>
      <t xml:space="preserve">LVT Flooring </t>
    </r>
    <r>
      <rPr>
        <sz val="12"/>
        <color rgb="FFFF0000"/>
        <rFont val="Calibri"/>
        <family val="2"/>
        <scheme val="minor"/>
      </rPr>
      <t>(Assumed, Please Verify)</t>
    </r>
  </si>
  <si>
    <r>
      <t xml:space="preserve">Rubber Base </t>
    </r>
    <r>
      <rPr>
        <sz val="12"/>
        <color rgb="FFFF0000"/>
        <rFont val="Calibri"/>
        <family val="2"/>
        <scheme val="minor"/>
      </rPr>
      <t>(Assumed, Please Verify)</t>
    </r>
  </si>
  <si>
    <t>Paint on Door W/ Frame</t>
  </si>
  <si>
    <t>F3- (4" Thk) Concrete Slab</t>
  </si>
  <si>
    <t>(16" Wide X 8" Thk) Cont. Concrete Footing</t>
  </si>
  <si>
    <t>E5- (8" Thk X 19" H) Concrete Stem Wall</t>
  </si>
  <si>
    <t>E5- (8" Thk X 10" H) Concrete Stem Wall</t>
  </si>
  <si>
    <t>3.5" Exp Rigid Insulation</t>
  </si>
  <si>
    <t>(3'-8" X 2'-2" X 8") Concrete Pad Footing</t>
  </si>
  <si>
    <t>Exterior Concrete Stairs</t>
  </si>
  <si>
    <t>Concrete Wall</t>
  </si>
  <si>
    <t>E4- (8" Thk X 9'-10" H) Concrete Frost Wall</t>
  </si>
  <si>
    <t>(3'-0" X 6'-8") Solid Core Self Closing Door W/ HM Frame</t>
  </si>
  <si>
    <t>(6'-0" X 6'-8") Solid Core Door W/ HM Frame</t>
  </si>
  <si>
    <t>(18'-0" X 7'-0") Overhead Garage Door</t>
  </si>
  <si>
    <t>(3'-0" X 7'-0") Solid Core Door W/ HM Frame</t>
  </si>
  <si>
    <t>(2'-8" X 7'-0") Solid Core Door W/ HM Frame</t>
  </si>
  <si>
    <t>(4'-0" X 7'-0") Slider Door W/ Frame</t>
  </si>
  <si>
    <t>(3'-0" X 7'-0") Framed Opening</t>
  </si>
  <si>
    <t>(12'-0" X 7'-0") Slider Glass Door @ Balcony</t>
  </si>
  <si>
    <t>(2'-9" X 7'-0") Sidelite</t>
  </si>
  <si>
    <t>(3'-0" X 7'-0") HM Door W/ HM Frame W/ (2'-0" X 7'-0") Door Sidelite</t>
  </si>
  <si>
    <t>(2'-9" X 3'-6") Single Hung Window</t>
  </si>
  <si>
    <t>(1'-6" X 5'-0") Single Hung Window</t>
  </si>
  <si>
    <t>(2'-0" X 5'-0") Single Hung Window</t>
  </si>
  <si>
    <t>B- Smart Board Painted Black</t>
  </si>
  <si>
    <t>F2- 11-7/8" Floor Joists @ 16" O.C</t>
  </si>
  <si>
    <t>F4- 11-7/8" Floor Joists @ 16" O.C</t>
  </si>
  <si>
    <t>3/4" Plywood Sheathing</t>
  </si>
  <si>
    <t>Insulation</t>
  </si>
  <si>
    <t>215mm Spray Foam Insulation</t>
  </si>
  <si>
    <t>Vapor Barrier</t>
  </si>
  <si>
    <t>3/4" Plywood Sheathing @ Roof</t>
  </si>
  <si>
    <t>3'-6" High gypsum board soffit</t>
  </si>
  <si>
    <t>Engineered roof trusses at 24" O.C.</t>
  </si>
  <si>
    <t>Sealed Concrete</t>
  </si>
  <si>
    <t>LVT Flooring</t>
  </si>
  <si>
    <t>Porcelain Tile Flooring</t>
  </si>
  <si>
    <t>A- White Stucco</t>
  </si>
  <si>
    <t>Exterior Wall Sconce</t>
  </si>
  <si>
    <t>(6'-2" Dia) Hot Tub</t>
  </si>
  <si>
    <t>(22" X 48") Fire Table</t>
  </si>
  <si>
    <t>Garbage Dumpster</t>
  </si>
  <si>
    <t>Recycle Dumpster</t>
  </si>
  <si>
    <t>Single Compartment Sink</t>
  </si>
  <si>
    <t>Water Closet</t>
  </si>
  <si>
    <t>Shower Head</t>
  </si>
  <si>
    <t>Tankless Water Heater</t>
  </si>
  <si>
    <t>Furnace</t>
  </si>
  <si>
    <t>Allowances for the plumbing pipes</t>
  </si>
  <si>
    <t>(20" Deep X 2'-10" H) Base Cabinet</t>
  </si>
  <si>
    <t>(24" Deep X 2'-10" H) Base Cabinet</t>
  </si>
  <si>
    <t>(12" Deep X 36" H) Upper Cabinet</t>
  </si>
  <si>
    <t>(12" Deep X 26" H) Upper Cabinet</t>
  </si>
  <si>
    <t>(18" Wide) Bench</t>
  </si>
  <si>
    <t>(19" Wide) Bench Seating</t>
  </si>
  <si>
    <t>(19" Wide) Shelving</t>
  </si>
  <si>
    <t>(24" Wide) Shelving</t>
  </si>
  <si>
    <t>(16" Wide) Shelving</t>
  </si>
  <si>
    <t>24" Fridge</t>
  </si>
  <si>
    <t>2 Burner Stove</t>
  </si>
  <si>
    <t>Dishwasher</t>
  </si>
  <si>
    <t>Stacked Washer/ Dryer</t>
  </si>
  <si>
    <t>Div-05</t>
  </si>
  <si>
    <t>Metals</t>
  </si>
  <si>
    <t>Railing</t>
  </si>
  <si>
    <t>(42" H) Glass Guardrail</t>
  </si>
  <si>
    <t>(42" H) Guardrail W/ Handrail</t>
  </si>
  <si>
    <t>Paint on 1/2" Gypsum ceiling board</t>
  </si>
  <si>
    <t>Exterior Vented Soffit</t>
  </si>
  <si>
    <t>Exterior Vaulted Soffit</t>
  </si>
  <si>
    <t>Exterior Wall Assembly</t>
  </si>
  <si>
    <t>Interior Wall Assembly</t>
  </si>
  <si>
    <t>1/2" Gypsum Board Wall</t>
  </si>
  <si>
    <t>1/2" Green Gypsum Board Wall</t>
  </si>
  <si>
    <t>R22 Batt Insulation</t>
  </si>
  <si>
    <t>(2 X 6) Wall Studs @ 16" O.C</t>
  </si>
  <si>
    <t>3/8" Sheathing</t>
  </si>
  <si>
    <t>2 Layer Building Paper</t>
  </si>
  <si>
    <t>(2 X 4) Wall Studs @ 16" O.C</t>
  </si>
  <si>
    <t>Allowances for the mechanical work</t>
  </si>
  <si>
    <t>Allowances for the electrical work</t>
  </si>
  <si>
    <t>Main House</t>
  </si>
  <si>
    <t>Carriage House</t>
  </si>
  <si>
    <t>Soil Export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</si>
</sst>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1" formatCode="_(* #,##0_);_(* \(#,##0\);_(* &quot;-&quot;_);_(@_)"/>
    <numFmt numFmtId="44" formatCode="_(&quot;$&quot;* #,##0.00_);_(&quot;$&quot;* \(#,##0.00\);_(&quot;$&quot;* &quot;-&quot;??_);_(@_)"/>
    <numFmt numFmtId="164" formatCode="_([$$-409]* #,##0.00_);_([$$-409]* \(#,##0.00\);_([$$-409]* &quot;-&quot;??_);_(@_)"/>
    <numFmt numFmtId="165" formatCode="0.0%"/>
    <numFmt numFmtId="166" formatCode="0.000"/>
    <numFmt numFmtId="167" formatCode="0.0"/>
    <numFmt numFmtId="168" formatCode="_([$$-409]* #,##0_);_([$$-409]* \(#,##0\);_([$$-409]* &quot;-&quot;??_);_(@_)"/>
    <numFmt numFmtId="169" formatCode="_(&quot;$&quot;* #,##0_);_(&quot;$&quot;* \(#,##0\);_(&quot;$&quot;* &quot;-&quot;??_);_(@_)"/>
    <numFmt numFmtId="170" formatCode="_([$$-409]* #,##0.0000_);_([$$-409]* \(#,##0.0000\);_([$$-409]* &quot;-&quot;??_);_(@_)"/>
    <numFmt numFmtId="171" formatCode="_([$$-409]* #,##0.0_);_([$$-409]* \(#,##0.0\);_([$$-409]* &quot;-&quot;??_);_(@_)"/>
  </numFmts>
  <fonts count="1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name val="Arial"/>
      <family val="2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2"/>
      <color rgb="FFFF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8EA9DB"/>
        <bgColor indexed="64"/>
      </patternFill>
    </fill>
    <fill>
      <patternFill patternType="solid">
        <fgColor rgb="FFFCE4D6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rgb="FFDBDBDB"/>
        <bgColor indexed="64"/>
      </patternFill>
    </fill>
    <fill>
      <patternFill patternType="solid">
        <fgColor rgb="FFD0CECE"/>
        <bgColor indexed="64"/>
      </patternFill>
    </fill>
    <fill>
      <patternFill patternType="solid">
        <fgColor rgb="FFAEAAAA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indexed="26"/>
      </patternFill>
    </fill>
    <fill>
      <patternFill patternType="solid">
        <fgColor theme="8" tint="0.39997558519241921"/>
        <bgColor indexed="64"/>
      </patternFill>
    </fill>
  </fills>
  <borders count="48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</borders>
  <cellStyleXfs count="7">
    <xf numFmtId="0" fontId="0" fillId="0" borderId="0"/>
    <xf numFmtId="0" fontId="7" fillId="9" borderId="46" applyNumberFormat="0" applyFont="0" applyAlignment="0" applyProtection="0"/>
    <xf numFmtId="0" fontId="5" fillId="0" borderId="0"/>
    <xf numFmtId="0" fontId="7" fillId="0" borderId="0"/>
    <xf numFmtId="0" fontId="7" fillId="9" borderId="46" applyNumberFormat="0" applyFont="0" applyAlignment="0" applyProtection="0"/>
    <xf numFmtId="0" fontId="7" fillId="9" borderId="46" applyNumberFormat="0" applyFont="0" applyAlignment="0" applyProtection="0"/>
    <xf numFmtId="44" fontId="5" fillId="0" borderId="0" applyFont="0" applyFill="0" applyBorder="0" applyAlignment="0" applyProtection="0"/>
  </cellStyleXfs>
  <cellXfs count="131">
    <xf numFmtId="0" fontId="0" fillId="0" borderId="0" xfId="0"/>
    <xf numFmtId="0" fontId="4" fillId="0" borderId="0" xfId="0" applyFont="1" applyAlignment="1">
      <alignment vertical="top"/>
    </xf>
    <xf numFmtId="9" fontId="4" fillId="0" borderId="4" xfId="0" applyNumberFormat="1" applyFont="1" applyBorder="1" applyAlignment="1">
      <alignment horizontal="center" vertical="center"/>
    </xf>
    <xf numFmtId="9" fontId="4" fillId="0" borderId="6" xfId="0" applyNumberFormat="1" applyFont="1" applyBorder="1" applyAlignment="1">
      <alignment horizontal="center" vertical="center"/>
    </xf>
    <xf numFmtId="9" fontId="4" fillId="0" borderId="8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top"/>
    </xf>
    <xf numFmtId="0" fontId="4" fillId="0" borderId="7" xfId="0" applyFont="1" applyBorder="1" applyAlignment="1">
      <alignment horizontal="center" vertical="top"/>
    </xf>
    <xf numFmtId="0" fontId="1" fillId="3" borderId="11" xfId="0" applyFont="1" applyFill="1" applyBorder="1" applyAlignment="1">
      <alignment horizontal="center" vertical="center"/>
    </xf>
    <xf numFmtId="0" fontId="1" fillId="3" borderId="19" xfId="0" applyFont="1" applyFill="1" applyBorder="1" applyAlignment="1">
      <alignment horizontal="center" vertical="center"/>
    </xf>
    <xf numFmtId="0" fontId="4" fillId="0" borderId="20" xfId="0" applyFont="1" applyBorder="1" applyAlignment="1">
      <alignment horizontal="center" vertical="top"/>
    </xf>
    <xf numFmtId="0" fontId="4" fillId="0" borderId="0" xfId="0" applyFont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21" xfId="0" applyFont="1" applyFill="1" applyBorder="1" applyAlignment="1">
      <alignment horizontal="center" vertical="center" wrapText="1"/>
    </xf>
    <xf numFmtId="0" fontId="1" fillId="4" borderId="14" xfId="0" applyFont="1" applyFill="1" applyBorder="1" applyAlignment="1">
      <alignment horizontal="center" vertical="center" wrapText="1"/>
    </xf>
    <xf numFmtId="0" fontId="1" fillId="6" borderId="0" xfId="0" applyFont="1" applyFill="1" applyAlignment="1">
      <alignment vertical="top"/>
    </xf>
    <xf numFmtId="0" fontId="1" fillId="6" borderId="10" xfId="0" applyFont="1" applyFill="1" applyBorder="1" applyAlignment="1">
      <alignment vertical="top"/>
    </xf>
    <xf numFmtId="0" fontId="4" fillId="6" borderId="0" xfId="0" applyFont="1" applyFill="1" applyAlignment="1">
      <alignment vertical="center"/>
    </xf>
    <xf numFmtId="0" fontId="4" fillId="6" borderId="24" xfId="0" applyFont="1" applyFill="1" applyBorder="1" applyAlignment="1">
      <alignment vertical="center"/>
    </xf>
    <xf numFmtId="165" fontId="4" fillId="0" borderId="12" xfId="0" applyNumberFormat="1" applyFont="1" applyBorder="1" applyAlignment="1">
      <alignment horizontal="center" vertical="center"/>
    </xf>
    <xf numFmtId="164" fontId="1" fillId="4" borderId="14" xfId="0" applyNumberFormat="1" applyFont="1" applyFill="1" applyBorder="1" applyAlignment="1">
      <alignment horizontal="center" vertical="center" wrapText="1"/>
    </xf>
    <xf numFmtId="164" fontId="1" fillId="6" borderId="11" xfId="0" applyNumberFormat="1" applyFont="1" applyFill="1" applyBorder="1" applyAlignment="1">
      <alignment vertical="top"/>
    </xf>
    <xf numFmtId="164" fontId="1" fillId="6" borderId="13" xfId="0" applyNumberFormat="1" applyFont="1" applyFill="1" applyBorder="1" applyAlignment="1">
      <alignment vertical="top"/>
    </xf>
    <xf numFmtId="164" fontId="4" fillId="6" borderId="13" xfId="0" applyNumberFormat="1" applyFont="1" applyFill="1" applyBorder="1" applyAlignment="1">
      <alignment vertical="center"/>
    </xf>
    <xf numFmtId="164" fontId="4" fillId="6" borderId="23" xfId="0" applyNumberFormat="1" applyFont="1" applyFill="1" applyBorder="1" applyAlignment="1">
      <alignment vertical="center"/>
    </xf>
    <xf numFmtId="164" fontId="1" fillId="4" borderId="2" xfId="0" applyNumberFormat="1" applyFont="1" applyFill="1" applyBorder="1" applyAlignment="1">
      <alignment horizontal="center" vertical="center" wrapText="1"/>
    </xf>
    <xf numFmtId="164" fontId="1" fillId="4" borderId="3" xfId="0" applyNumberFormat="1" applyFont="1" applyFill="1" applyBorder="1" applyAlignment="1">
      <alignment horizontal="center" vertical="center" wrapText="1"/>
    </xf>
    <xf numFmtId="164" fontId="1" fillId="4" borderId="17" xfId="0" applyNumberFormat="1" applyFont="1" applyFill="1" applyBorder="1" applyAlignment="1">
      <alignment horizontal="center" vertical="center" wrapText="1"/>
    </xf>
    <xf numFmtId="1" fontId="1" fillId="4" borderId="2" xfId="0" applyNumberFormat="1" applyFont="1" applyFill="1" applyBorder="1" applyAlignment="1">
      <alignment horizontal="center" vertical="center" wrapText="1"/>
    </xf>
    <xf numFmtId="1" fontId="1" fillId="4" borderId="14" xfId="0" applyNumberFormat="1" applyFont="1" applyFill="1" applyBorder="1" applyAlignment="1">
      <alignment horizontal="center" vertical="center" wrapText="1"/>
    </xf>
    <xf numFmtId="1" fontId="4" fillId="6" borderId="10" xfId="0" applyNumberFormat="1" applyFont="1" applyFill="1" applyBorder="1" applyAlignment="1">
      <alignment horizontal="right" vertical="top"/>
    </xf>
    <xf numFmtId="1" fontId="4" fillId="6" borderId="0" xfId="0" applyNumberFormat="1" applyFont="1" applyFill="1" applyAlignment="1">
      <alignment horizontal="right" vertical="top"/>
    </xf>
    <xf numFmtId="1" fontId="4" fillId="6" borderId="0" xfId="0" applyNumberFormat="1" applyFont="1" applyFill="1" applyAlignment="1">
      <alignment horizontal="right" vertical="center"/>
    </xf>
    <xf numFmtId="1" fontId="4" fillId="6" borderId="24" xfId="0" applyNumberFormat="1" applyFont="1" applyFill="1" applyBorder="1" applyAlignment="1">
      <alignment horizontal="right" vertical="center"/>
    </xf>
    <xf numFmtId="9" fontId="1" fillId="4" borderId="2" xfId="0" applyNumberFormat="1" applyFont="1" applyFill="1" applyBorder="1" applyAlignment="1">
      <alignment horizontal="center" vertical="center" wrapText="1"/>
    </xf>
    <xf numFmtId="9" fontId="4" fillId="6" borderId="9" xfId="0" applyNumberFormat="1" applyFont="1" applyFill="1" applyBorder="1" applyAlignment="1">
      <alignment vertical="center"/>
    </xf>
    <xf numFmtId="9" fontId="4" fillId="6" borderId="12" xfId="0" applyNumberFormat="1" applyFont="1" applyFill="1" applyBorder="1" applyAlignment="1">
      <alignment vertical="center"/>
    </xf>
    <xf numFmtId="9" fontId="4" fillId="6" borderId="22" xfId="0" applyNumberFormat="1" applyFont="1" applyFill="1" applyBorder="1" applyAlignment="1">
      <alignment vertical="center"/>
    </xf>
    <xf numFmtId="9" fontId="1" fillId="4" borderId="14" xfId="0" applyNumberFormat="1" applyFont="1" applyFill="1" applyBorder="1" applyAlignment="1">
      <alignment horizontal="center" vertical="center" wrapText="1"/>
    </xf>
    <xf numFmtId="0" fontId="4" fillId="6" borderId="0" xfId="0" applyFont="1" applyFill="1" applyAlignment="1">
      <alignment horizontal="center" vertical="center"/>
    </xf>
    <xf numFmtId="0" fontId="4" fillId="6" borderId="24" xfId="0" applyFont="1" applyFill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4" xfId="0" applyFont="1" applyBorder="1" applyAlignment="1">
      <alignment vertical="center"/>
    </xf>
    <xf numFmtId="9" fontId="4" fillId="0" borderId="24" xfId="0" applyNumberFormat="1" applyFont="1" applyBorder="1" applyAlignment="1">
      <alignment vertical="center"/>
    </xf>
    <xf numFmtId="164" fontId="4" fillId="0" borderId="24" xfId="0" applyNumberFormat="1" applyFont="1" applyBorder="1" applyAlignment="1">
      <alignment vertical="center"/>
    </xf>
    <xf numFmtId="1" fontId="4" fillId="0" borderId="25" xfId="0" applyNumberFormat="1" applyFont="1" applyBorder="1" applyAlignment="1">
      <alignment vertical="center"/>
    </xf>
    <xf numFmtId="0" fontId="4" fillId="0" borderId="26" xfId="0" applyFont="1" applyBorder="1" applyAlignment="1">
      <alignment horizontal="center" vertical="center"/>
    </xf>
    <xf numFmtId="0" fontId="1" fillId="0" borderId="26" xfId="0" applyFont="1" applyBorder="1" applyAlignment="1">
      <alignment horizontal="right" vertical="center"/>
    </xf>
    <xf numFmtId="164" fontId="4" fillId="0" borderId="26" xfId="0" applyNumberFormat="1" applyFont="1" applyBorder="1" applyAlignment="1">
      <alignment vertical="center"/>
    </xf>
    <xf numFmtId="165" fontId="4" fillId="0" borderId="25" xfId="0" applyNumberFormat="1" applyFont="1" applyBorder="1" applyAlignment="1">
      <alignment horizontal="center" vertical="center"/>
    </xf>
    <xf numFmtId="0" fontId="4" fillId="0" borderId="26" xfId="0" applyFont="1" applyBorder="1" applyAlignment="1">
      <alignment vertical="top"/>
    </xf>
    <xf numFmtId="0" fontId="1" fillId="6" borderId="0" xfId="0" applyFont="1" applyFill="1" applyAlignment="1">
      <alignment horizontal="left" vertical="top"/>
    </xf>
    <xf numFmtId="14" fontId="4" fillId="6" borderId="10" xfId="0" applyNumberFormat="1" applyFont="1" applyFill="1" applyBorder="1" applyAlignment="1">
      <alignment horizontal="center" vertical="top"/>
    </xf>
    <xf numFmtId="0" fontId="1" fillId="3" borderId="29" xfId="0" applyFont="1" applyFill="1" applyBorder="1" applyAlignment="1">
      <alignment horizontal="center" vertical="center"/>
    </xf>
    <xf numFmtId="0" fontId="1" fillId="3" borderId="30" xfId="0" applyFont="1" applyFill="1" applyBorder="1" applyAlignment="1">
      <alignment horizontal="center" vertical="center"/>
    </xf>
    <xf numFmtId="0" fontId="4" fillId="0" borderId="31" xfId="0" applyFont="1" applyBorder="1" applyAlignment="1">
      <alignment vertical="top"/>
    </xf>
    <xf numFmtId="164" fontId="4" fillId="0" borderId="32" xfId="0" applyNumberFormat="1" applyFont="1" applyBorder="1" applyAlignment="1">
      <alignment vertical="top"/>
    </xf>
    <xf numFmtId="0" fontId="4" fillId="0" borderId="34" xfId="0" applyFont="1" applyBorder="1" applyAlignment="1">
      <alignment horizontal="center" vertical="center"/>
    </xf>
    <xf numFmtId="0" fontId="4" fillId="0" borderId="35" xfId="0" applyFont="1" applyBorder="1" applyAlignment="1">
      <alignment horizontal="left" vertical="center"/>
    </xf>
    <xf numFmtId="0" fontId="4" fillId="0" borderId="36" xfId="0" applyFont="1" applyBorder="1" applyAlignment="1">
      <alignment horizontal="left" vertical="center"/>
    </xf>
    <xf numFmtId="165" fontId="4" fillId="0" borderId="37" xfId="0" applyNumberFormat="1" applyFont="1" applyBorder="1" applyAlignment="1">
      <alignment horizontal="center" vertical="center"/>
    </xf>
    <xf numFmtId="0" fontId="4" fillId="6" borderId="38" xfId="0" applyFont="1" applyFill="1" applyBorder="1" applyAlignment="1">
      <alignment vertical="top"/>
    </xf>
    <xf numFmtId="0" fontId="4" fillId="6" borderId="39" xfId="0" applyFont="1" applyFill="1" applyBorder="1" applyAlignment="1">
      <alignment vertical="top"/>
    </xf>
    <xf numFmtId="0" fontId="4" fillId="6" borderId="31" xfId="0" applyFont="1" applyFill="1" applyBorder="1" applyAlignment="1">
      <alignment vertical="top"/>
    </xf>
    <xf numFmtId="14" fontId="1" fillId="6" borderId="32" xfId="0" applyNumberFormat="1" applyFont="1" applyFill="1" applyBorder="1" applyAlignment="1">
      <alignment vertical="top"/>
    </xf>
    <xf numFmtId="0" fontId="1" fillId="7" borderId="16" xfId="0" applyFont="1" applyFill="1" applyBorder="1" applyAlignment="1">
      <alignment vertical="center"/>
    </xf>
    <xf numFmtId="164" fontId="1" fillId="7" borderId="16" xfId="0" applyNumberFormat="1" applyFont="1" applyFill="1" applyBorder="1" applyAlignment="1">
      <alignment vertical="center"/>
    </xf>
    <xf numFmtId="0" fontId="1" fillId="7" borderId="18" xfId="0" applyFont="1" applyFill="1" applyBorder="1" applyAlignment="1">
      <alignment horizontal="center" vertical="center"/>
    </xf>
    <xf numFmtId="164" fontId="1" fillId="7" borderId="18" xfId="0" applyNumberFormat="1" applyFont="1" applyFill="1" applyBorder="1" applyAlignment="1">
      <alignment vertical="center"/>
    </xf>
    <xf numFmtId="1" fontId="1" fillId="7" borderId="16" xfId="0" applyNumberFormat="1" applyFont="1" applyFill="1" applyBorder="1" applyAlignment="1">
      <alignment vertical="center"/>
    </xf>
    <xf numFmtId="9" fontId="1" fillId="7" borderId="16" xfId="0" applyNumberFormat="1" applyFont="1" applyFill="1" applyBorder="1" applyAlignment="1">
      <alignment vertical="center"/>
    </xf>
    <xf numFmtId="0" fontId="1" fillId="7" borderId="19" xfId="0" applyFont="1" applyFill="1" applyBorder="1" applyAlignment="1">
      <alignment horizontal="center" vertical="center"/>
    </xf>
    <xf numFmtId="168" fontId="1" fillId="7" borderId="18" xfId="0" applyNumberFormat="1" applyFont="1" applyFill="1" applyBorder="1" applyAlignment="1">
      <alignment vertical="center"/>
    </xf>
    <xf numFmtId="14" fontId="1" fillId="6" borderId="40" xfId="0" applyNumberFormat="1" applyFont="1" applyFill="1" applyBorder="1" applyAlignment="1">
      <alignment vertical="top" wrapText="1"/>
    </xf>
    <xf numFmtId="165" fontId="4" fillId="0" borderId="45" xfId="0" applyNumberFormat="1" applyFont="1" applyBorder="1" applyAlignment="1">
      <alignment horizontal="center" vertical="center"/>
    </xf>
    <xf numFmtId="169" fontId="4" fillId="0" borderId="27" xfId="0" applyNumberFormat="1" applyFont="1" applyBorder="1" applyAlignment="1">
      <alignment vertical="center"/>
    </xf>
    <xf numFmtId="169" fontId="4" fillId="0" borderId="26" xfId="0" applyNumberFormat="1" applyFont="1" applyBorder="1" applyAlignment="1">
      <alignment vertical="center"/>
    </xf>
    <xf numFmtId="169" fontId="4" fillId="0" borderId="0" xfId="0" applyNumberFormat="1" applyFont="1" applyAlignment="1">
      <alignment vertical="center"/>
    </xf>
    <xf numFmtId="169" fontId="4" fillId="0" borderId="13" xfId="0" applyNumberFormat="1" applyFont="1" applyBorder="1" applyAlignment="1">
      <alignment vertical="center"/>
    </xf>
    <xf numFmtId="169" fontId="4" fillId="0" borderId="24" xfId="0" applyNumberFormat="1" applyFont="1" applyBorder="1" applyAlignment="1">
      <alignment vertical="center"/>
    </xf>
    <xf numFmtId="169" fontId="4" fillId="0" borderId="23" xfId="0" applyNumberFormat="1" applyFont="1" applyBorder="1" applyAlignment="1">
      <alignment vertical="center"/>
    </xf>
    <xf numFmtId="1" fontId="4" fillId="0" borderId="27" xfId="0" applyNumberFormat="1" applyFont="1" applyBorder="1" applyAlignment="1">
      <alignment vertical="center"/>
    </xf>
    <xf numFmtId="169" fontId="4" fillId="0" borderId="41" xfId="0" applyNumberFormat="1" applyFont="1" applyBorder="1" applyAlignment="1">
      <alignment vertical="center"/>
    </xf>
    <xf numFmtId="169" fontId="4" fillId="0" borderId="43" xfId="0" applyNumberFormat="1" applyFont="1" applyBorder="1" applyAlignment="1">
      <alignment vertical="center"/>
    </xf>
    <xf numFmtId="169" fontId="4" fillId="0" borderId="42" xfId="0" applyNumberFormat="1" applyFont="1" applyBorder="1" applyAlignment="1">
      <alignment vertical="center"/>
    </xf>
    <xf numFmtId="169" fontId="4" fillId="0" borderId="28" xfId="0" applyNumberFormat="1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164" fontId="4" fillId="0" borderId="0" xfId="0" applyNumberFormat="1" applyFont="1" applyAlignment="1">
      <alignment vertical="center"/>
    </xf>
    <xf numFmtId="9" fontId="4" fillId="0" borderId="0" xfId="0" applyNumberFormat="1" applyFont="1" applyAlignment="1">
      <alignment vertical="center"/>
    </xf>
    <xf numFmtId="164" fontId="4" fillId="0" borderId="13" xfId="0" applyNumberFormat="1" applyFont="1" applyBorder="1" applyAlignment="1">
      <alignment vertical="center"/>
    </xf>
    <xf numFmtId="166" fontId="4" fillId="0" borderId="0" xfId="0" applyNumberFormat="1" applyFont="1" applyAlignment="1">
      <alignment horizontal="center" vertical="center"/>
    </xf>
    <xf numFmtId="167" fontId="4" fillId="0" borderId="0" xfId="0" applyNumberFormat="1" applyFont="1" applyAlignment="1">
      <alignment vertical="center"/>
    </xf>
    <xf numFmtId="1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 wrapText="1"/>
    </xf>
    <xf numFmtId="0" fontId="6" fillId="0" borderId="0" xfId="0" applyFont="1" applyAlignment="1">
      <alignment horizontal="justify" vertical="center"/>
    </xf>
    <xf numFmtId="41" fontId="4" fillId="0" borderId="0" xfId="0" applyNumberFormat="1" applyFont="1" applyAlignment="1">
      <alignment vertical="center"/>
    </xf>
    <xf numFmtId="0" fontId="6" fillId="0" borderId="0" xfId="0" applyFont="1" applyAlignment="1">
      <alignment horizontal="right" vertical="center"/>
    </xf>
    <xf numFmtId="1" fontId="6" fillId="0" borderId="0" xfId="0" applyNumberFormat="1" applyFont="1" applyAlignment="1">
      <alignment horizontal="right" vertical="center"/>
    </xf>
    <xf numFmtId="0" fontId="4" fillId="0" borderId="47" xfId="0" applyFont="1" applyBorder="1" applyAlignment="1">
      <alignment horizontal="center" vertical="top"/>
    </xf>
    <xf numFmtId="170" fontId="4" fillId="0" borderId="0" xfId="0" applyNumberFormat="1" applyFont="1" applyAlignment="1">
      <alignment vertical="center"/>
    </xf>
    <xf numFmtId="0" fontId="9" fillId="10" borderId="0" xfId="0" applyFont="1" applyFill="1" applyAlignment="1">
      <alignment wrapText="1"/>
    </xf>
    <xf numFmtId="171" fontId="4" fillId="0" borderId="0" xfId="0" applyNumberFormat="1" applyFont="1" applyAlignment="1">
      <alignment vertical="center"/>
    </xf>
    <xf numFmtId="0" fontId="0" fillId="0" borderId="0" xfId="0" applyAlignment="1">
      <alignment wrapText="1"/>
    </xf>
    <xf numFmtId="0" fontId="10" fillId="0" borderId="0" xfId="0" applyFont="1" applyAlignment="1">
      <alignment horizontal="right" wrapText="1"/>
    </xf>
    <xf numFmtId="0" fontId="9" fillId="0" borderId="0" xfId="0" applyFont="1" applyAlignment="1">
      <alignment wrapText="1"/>
    </xf>
    <xf numFmtId="0" fontId="1" fillId="0" borderId="0" xfId="0" applyFont="1"/>
    <xf numFmtId="9" fontId="1" fillId="0" borderId="0" xfId="0" applyNumberFormat="1" applyFont="1" applyAlignment="1">
      <alignment horizontal="center" vertical="center"/>
    </xf>
    <xf numFmtId="1" fontId="1" fillId="0" borderId="0" xfId="0" applyNumberFormat="1" applyFont="1" applyAlignment="1">
      <alignment vertical="center"/>
    </xf>
    <xf numFmtId="0" fontId="1" fillId="0" borderId="0" xfId="0" applyFont="1" applyAlignment="1">
      <alignment horizontal="center" vertical="center"/>
    </xf>
    <xf numFmtId="2" fontId="6" fillId="0" borderId="0" xfId="0" applyNumberFormat="1" applyFont="1" applyAlignment="1">
      <alignment horizontal="right" vertical="center"/>
    </xf>
    <xf numFmtId="44" fontId="4" fillId="0" borderId="0" xfId="6" applyFont="1" applyAlignment="1">
      <alignment vertical="center"/>
    </xf>
    <xf numFmtId="44" fontId="4" fillId="0" borderId="0" xfId="6" applyFont="1" applyAlignment="1">
      <alignment horizontal="center" vertical="center"/>
    </xf>
    <xf numFmtId="44" fontId="1" fillId="7" borderId="16" xfId="6" applyFont="1" applyFill="1" applyBorder="1" applyAlignment="1">
      <alignment vertical="center"/>
    </xf>
    <xf numFmtId="0" fontId="1" fillId="3" borderId="9" xfId="0" applyFont="1" applyFill="1" applyBorder="1" applyAlignment="1">
      <alignment horizontal="center" vertical="top"/>
    </xf>
    <xf numFmtId="0" fontId="1" fillId="3" borderId="11" xfId="0" applyFont="1" applyFill="1" applyBorder="1" applyAlignment="1">
      <alignment horizontal="center" vertical="top"/>
    </xf>
    <xf numFmtId="0" fontId="3" fillId="2" borderId="15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14" fontId="2" fillId="8" borderId="25" xfId="0" applyNumberFormat="1" applyFont="1" applyFill="1" applyBorder="1" applyAlignment="1">
      <alignment horizontal="center" vertical="center"/>
    </xf>
    <xf numFmtId="0" fontId="2" fillId="8" borderId="27" xfId="0" applyFont="1" applyFill="1" applyBorder="1" applyAlignment="1">
      <alignment horizontal="center" vertical="center"/>
    </xf>
    <xf numFmtId="0" fontId="1" fillId="5" borderId="22" xfId="0" applyFont="1" applyFill="1" applyBorder="1" applyAlignment="1">
      <alignment horizontal="center" vertical="center"/>
    </xf>
    <xf numFmtId="0" fontId="1" fillId="5" borderId="24" xfId="0" applyFont="1" applyFill="1" applyBorder="1" applyAlignment="1">
      <alignment horizontal="center" vertical="center"/>
    </xf>
    <xf numFmtId="0" fontId="1" fillId="5" borderId="23" xfId="0" applyFont="1" applyFill="1" applyBorder="1" applyAlignment="1">
      <alignment horizontal="center" vertical="center"/>
    </xf>
    <xf numFmtId="0" fontId="2" fillId="8" borderId="25" xfId="0" applyFont="1" applyFill="1" applyBorder="1" applyAlignment="1">
      <alignment horizontal="center" vertical="center"/>
    </xf>
    <xf numFmtId="0" fontId="2" fillId="8" borderId="26" xfId="0" applyFont="1" applyFill="1" applyBorder="1" applyAlignment="1">
      <alignment horizontal="center" vertical="center"/>
    </xf>
    <xf numFmtId="0" fontId="4" fillId="0" borderId="33" xfId="0" applyFont="1" applyBorder="1" applyAlignment="1">
      <alignment horizontal="left" vertical="top"/>
    </xf>
    <xf numFmtId="0" fontId="4" fillId="0" borderId="44" xfId="0" applyFont="1" applyBorder="1" applyAlignment="1">
      <alignment horizontal="left" vertical="top"/>
    </xf>
    <xf numFmtId="1" fontId="4" fillId="0" borderId="0" xfId="0" applyNumberFormat="1" applyFont="1" applyAlignment="1">
      <alignment horizontal="center" vertical="center"/>
    </xf>
  </cellXfs>
  <cellStyles count="7">
    <cellStyle name="Currency" xfId="6" builtinId="4"/>
    <cellStyle name="Normal" xfId="0" builtinId="0"/>
    <cellStyle name="Normal 2 3" xfId="3" xr:uid="{FA0F13D5-AB09-43D2-9022-EBB862DD4D20}"/>
    <cellStyle name="Normal 6" xfId="2" xr:uid="{57AC5D95-14C5-49BA-970D-529C89FEE046}"/>
    <cellStyle name="Note 10 2 10 2 2 4 2 2 2 2 2 2 2 2 2 2 2 2 4 2" xfId="5" xr:uid="{5A44B9A9-1717-4315-9DB6-97881E0C445F}"/>
    <cellStyle name="Note 10 2 10 6 2" xfId="1" xr:uid="{00000000-0005-0000-0000-000002000000}"/>
    <cellStyle name="Note 17 2 11 2 2 2 2 2" xfId="4" xr:uid="{DF51067A-2701-4377-804E-7B2A2AF50C95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ubfolder\Waqar%20Liaquat\October\project%2004%2015k%20(GC%20of%20main%20building)%20Per%20Hour\sampl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OJECT SUMMARY"/>
      <sheetName val="Main Carriage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1"/>
  <sheetViews>
    <sheetView zoomScale="85" zoomScaleNormal="85" workbookViewId="0">
      <selection activeCell="C16" sqref="C16"/>
    </sheetView>
  </sheetViews>
  <sheetFormatPr defaultColWidth="9.140625" defaultRowHeight="15.75" x14ac:dyDescent="0.25"/>
  <cols>
    <col min="1" max="2" width="9.140625" style="1"/>
    <col min="3" max="3" width="29.85546875" style="1" customWidth="1"/>
    <col min="4" max="4" width="44.7109375" style="1" customWidth="1"/>
    <col min="5" max="5" width="12.140625" style="1" bestFit="1" customWidth="1"/>
    <col min="6" max="6" width="12.42578125" style="1" bestFit="1" customWidth="1"/>
    <col min="7" max="7" width="10.7109375" style="1" bestFit="1" customWidth="1"/>
    <col min="8" max="8" width="9.140625" style="1"/>
    <col min="9" max="9" width="11.85546875" style="1" customWidth="1"/>
    <col min="10" max="10" width="12.140625" style="1" customWidth="1"/>
    <col min="11" max="16384" width="9.140625" style="1"/>
  </cols>
  <sheetData>
    <row r="1" spans="1:11" ht="21.75" thickBot="1" x14ac:dyDescent="0.3">
      <c r="A1" s="118" t="s">
        <v>0</v>
      </c>
      <c r="B1" s="119"/>
      <c r="C1" s="119"/>
      <c r="D1" s="119"/>
      <c r="E1" s="119"/>
      <c r="F1" s="119"/>
      <c r="G1" s="119"/>
      <c r="H1" s="119"/>
      <c r="I1" s="119"/>
      <c r="J1" s="119"/>
      <c r="K1" s="120"/>
    </row>
    <row r="4" spans="1:11" ht="16.5" thickBot="1" x14ac:dyDescent="0.3"/>
    <row r="5" spans="1:11" ht="16.5" thickBot="1" x14ac:dyDescent="0.3">
      <c r="C5" s="63" t="s">
        <v>1</v>
      </c>
      <c r="D5" s="66">
        <f ca="1">'BASE BID'!H5</f>
        <v>45221</v>
      </c>
    </row>
    <row r="6" spans="1:11" ht="16.5" thickBot="1" x14ac:dyDescent="0.3">
      <c r="C6" s="65" t="s">
        <v>2</v>
      </c>
      <c r="D6" s="66" t="str">
        <f>'BASE BID'!H6</f>
        <v>Brotherston Residence</v>
      </c>
    </row>
    <row r="7" spans="1:11" ht="16.5" thickBot="1" x14ac:dyDescent="0.3">
      <c r="C7" s="64" t="s">
        <v>3</v>
      </c>
      <c r="D7" s="75" t="str">
        <f>'BASE BID'!H7</f>
        <v>Lot 36 Vista Naramata Beachlands</v>
      </c>
    </row>
    <row r="8" spans="1:11" ht="16.5" thickBot="1" x14ac:dyDescent="0.3"/>
    <row r="9" spans="1:11" ht="19.5" thickBot="1" x14ac:dyDescent="0.3">
      <c r="C9" s="121" t="str">
        <f>D6</f>
        <v>Brotherston Residence</v>
      </c>
      <c r="D9" s="122"/>
    </row>
    <row r="10" spans="1:11" ht="25.5" customHeight="1" thickBot="1" x14ac:dyDescent="0.3">
      <c r="C10" s="55" t="s">
        <v>0</v>
      </c>
      <c r="D10" s="56" t="s">
        <v>4</v>
      </c>
    </row>
    <row r="11" spans="1:11" ht="16.5" thickBot="1" x14ac:dyDescent="0.3">
      <c r="C11" s="57" t="s">
        <v>373</v>
      </c>
      <c r="D11" s="58">
        <f>'BASE BID'!D9</f>
        <v>982434.81436928338</v>
      </c>
    </row>
    <row r="12" spans="1:11" ht="16.5" thickBot="1" x14ac:dyDescent="0.3">
      <c r="C12" s="57" t="s">
        <v>374</v>
      </c>
      <c r="D12" s="58">
        <f>'CARRIAGE HOUSE'!P241</f>
        <v>261649.14650065056</v>
      </c>
    </row>
    <row r="21" spans="3:4" ht="16.5" thickBot="1" x14ac:dyDescent="0.3">
      <c r="C21" s="1" t="s">
        <v>5</v>
      </c>
    </row>
    <row r="22" spans="3:4" ht="16.5" thickBot="1" x14ac:dyDescent="0.3">
      <c r="C22" s="116" t="s">
        <v>6</v>
      </c>
      <c r="D22" s="117"/>
    </row>
    <row r="23" spans="3:4" ht="16.5" thickBot="1" x14ac:dyDescent="0.3">
      <c r="C23" s="8" t="s">
        <v>7</v>
      </c>
      <c r="D23" s="7" t="s">
        <v>8</v>
      </c>
    </row>
    <row r="24" spans="3:4" x14ac:dyDescent="0.25">
      <c r="C24" s="9" t="s">
        <v>9</v>
      </c>
      <c r="D24" s="2">
        <v>0</v>
      </c>
    </row>
    <row r="25" spans="3:4" x14ac:dyDescent="0.25">
      <c r="C25" s="5" t="s">
        <v>10</v>
      </c>
      <c r="D25" s="3">
        <v>0.05</v>
      </c>
    </row>
    <row r="26" spans="3:4" x14ac:dyDescent="0.25">
      <c r="C26" s="5" t="s">
        <v>11</v>
      </c>
      <c r="D26" s="3">
        <v>0.05</v>
      </c>
    </row>
    <row r="27" spans="3:4" x14ac:dyDescent="0.25">
      <c r="C27" s="5" t="s">
        <v>12</v>
      </c>
      <c r="D27" s="3">
        <v>0</v>
      </c>
    </row>
    <row r="28" spans="3:4" x14ac:dyDescent="0.25">
      <c r="C28" s="5" t="s">
        <v>13</v>
      </c>
      <c r="D28" s="3">
        <v>0.05</v>
      </c>
    </row>
    <row r="29" spans="3:4" x14ac:dyDescent="0.25">
      <c r="C29" s="5" t="s">
        <v>14</v>
      </c>
      <c r="D29" s="3">
        <v>0.05</v>
      </c>
    </row>
    <row r="30" spans="3:4" x14ac:dyDescent="0.25">
      <c r="C30" s="101" t="s">
        <v>41</v>
      </c>
      <c r="D30" s="3">
        <v>0.05</v>
      </c>
    </row>
    <row r="31" spans="3:4" ht="16.5" thickBot="1" x14ac:dyDescent="0.3">
      <c r="C31" s="6" t="s">
        <v>15</v>
      </c>
      <c r="D31" s="4">
        <v>0.05</v>
      </c>
    </row>
  </sheetData>
  <mergeCells count="3">
    <mergeCell ref="C22:D22"/>
    <mergeCell ref="A1:K1"/>
    <mergeCell ref="C9:D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F6BCE6-D0FC-4571-8EC8-3376E2C724D2}">
  <dimension ref="A1:Q421"/>
  <sheetViews>
    <sheetView tabSelected="1" zoomScale="79" zoomScaleNormal="79" zoomScaleSheetLayoutView="40" workbookViewId="0">
      <pane ySplit="1" topLeftCell="A2" activePane="bottomLeft" state="frozen"/>
      <selection pane="bottomLeft" activeCell="D17" sqref="D17"/>
    </sheetView>
  </sheetViews>
  <sheetFormatPr defaultColWidth="9.140625" defaultRowHeight="15.75" x14ac:dyDescent="0.25"/>
  <cols>
    <col min="1" max="1" width="9.140625" style="89"/>
    <col min="2" max="2" width="17.85546875" style="89" customWidth="1"/>
    <col min="3" max="3" width="12.28515625" style="89" bestFit="1" customWidth="1"/>
    <col min="4" max="4" width="95.5703125" style="88" customWidth="1"/>
    <col min="5" max="5" width="12.85546875" style="95" customWidth="1"/>
    <col min="6" max="6" width="14.42578125" style="91" customWidth="1"/>
    <col min="7" max="7" width="20.42578125" style="95" customWidth="1"/>
    <col min="8" max="8" width="16.42578125" style="89" customWidth="1"/>
    <col min="9" max="9" width="13.28515625" style="88" customWidth="1"/>
    <col min="10" max="10" width="16.85546875" style="88" customWidth="1"/>
    <col min="11" max="11" width="16.5703125" style="90" customWidth="1"/>
    <col min="12" max="12" width="20.7109375" style="90" customWidth="1"/>
    <col min="13" max="13" width="14.28515625" style="90" customWidth="1"/>
    <col min="14" max="14" width="17.42578125" style="90" customWidth="1"/>
    <col min="15" max="15" width="17.140625" style="90" customWidth="1"/>
    <col min="16" max="16" width="19.42578125" style="90" bestFit="1" customWidth="1"/>
    <col min="17" max="16384" width="9.140625" style="88"/>
  </cols>
  <sheetData>
    <row r="1" spans="1:16" s="10" customFormat="1" ht="49.5" customHeight="1" thickBot="1" x14ac:dyDescent="0.3">
      <c r="A1" s="11" t="s">
        <v>21</v>
      </c>
      <c r="B1" s="12" t="s">
        <v>22</v>
      </c>
      <c r="C1" s="12" t="s">
        <v>16</v>
      </c>
      <c r="D1" s="12" t="s">
        <v>17</v>
      </c>
      <c r="E1" s="28" t="s">
        <v>23</v>
      </c>
      <c r="F1" s="34" t="s">
        <v>24</v>
      </c>
      <c r="G1" s="28" t="s">
        <v>25</v>
      </c>
      <c r="H1" s="12" t="s">
        <v>7</v>
      </c>
      <c r="I1" s="12" t="s">
        <v>26</v>
      </c>
      <c r="J1" s="12" t="s">
        <v>27</v>
      </c>
      <c r="K1" s="25" t="s">
        <v>28</v>
      </c>
      <c r="L1" s="25" t="s">
        <v>29</v>
      </c>
      <c r="M1" s="25" t="s">
        <v>30</v>
      </c>
      <c r="N1" s="25" t="s">
        <v>31</v>
      </c>
      <c r="O1" s="25" t="s">
        <v>4</v>
      </c>
      <c r="P1" s="26" t="s">
        <v>32</v>
      </c>
    </row>
    <row r="2" spans="1:16" ht="16.5" thickBot="1" x14ac:dyDescent="0.3">
      <c r="A2" s="123" t="s">
        <v>33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5"/>
    </row>
    <row r="4" spans="1:16" ht="16.5" thickBot="1" x14ac:dyDescent="0.3"/>
    <row r="5" spans="1:16" ht="19.5" thickBot="1" x14ac:dyDescent="0.3">
      <c r="A5" s="126" t="str">
        <f>H6</f>
        <v>Brotherston Residence</v>
      </c>
      <c r="B5" s="127"/>
      <c r="C5" s="127"/>
      <c r="D5" s="122"/>
      <c r="F5" s="35"/>
      <c r="G5" s="30" t="s">
        <v>1</v>
      </c>
      <c r="H5" s="54">
        <f ca="1">TODAY()</f>
        <v>45221</v>
      </c>
      <c r="I5" s="16"/>
      <c r="J5" s="16"/>
      <c r="K5" s="21"/>
    </row>
    <row r="6" spans="1:16" x14ac:dyDescent="0.25">
      <c r="A6" s="59"/>
      <c r="B6" s="60" t="s">
        <v>18</v>
      </c>
      <c r="C6" s="61"/>
      <c r="D6" s="84">
        <f>P413</f>
        <v>817552.51843410451</v>
      </c>
      <c r="F6" s="36"/>
      <c r="G6" s="31" t="s">
        <v>2</v>
      </c>
      <c r="H6" s="53" t="s">
        <v>278</v>
      </c>
      <c r="I6" s="15"/>
      <c r="J6" s="15"/>
      <c r="K6" s="22"/>
    </row>
    <row r="7" spans="1:16" x14ac:dyDescent="0.25">
      <c r="A7" s="62">
        <f>G414</f>
        <v>9.5000000000000001E-2</v>
      </c>
      <c r="B7" s="128" t="str">
        <f>H414</f>
        <v>Material Tax=</v>
      </c>
      <c r="C7" s="128"/>
      <c r="D7" s="85">
        <f>P414</f>
        <v>42249.418170063247</v>
      </c>
      <c r="F7" s="36"/>
      <c r="G7" s="31" t="s">
        <v>3</v>
      </c>
      <c r="H7" s="53" t="s">
        <v>279</v>
      </c>
      <c r="I7" s="15"/>
      <c r="J7" s="15"/>
      <c r="K7" s="22"/>
    </row>
    <row r="8" spans="1:16" x14ac:dyDescent="0.25">
      <c r="A8" s="62">
        <f>G415</f>
        <v>0.15</v>
      </c>
      <c r="B8" s="128" t="str">
        <f>H415</f>
        <v>Overhead and Profit=</v>
      </c>
      <c r="C8" s="128"/>
      <c r="D8" s="86">
        <f>P415</f>
        <v>122632.87776511564</v>
      </c>
      <c r="F8" s="36"/>
      <c r="G8" s="32"/>
      <c r="H8" s="39"/>
      <c r="I8" s="17"/>
      <c r="J8" s="17"/>
      <c r="K8" s="23"/>
    </row>
    <row r="9" spans="1:16" ht="16.5" thickBot="1" x14ac:dyDescent="0.3">
      <c r="A9" s="76"/>
      <c r="B9" s="129" t="str">
        <f>H416</f>
        <v>Total Bid=</v>
      </c>
      <c r="C9" s="129"/>
      <c r="D9" s="87">
        <f>P416</f>
        <v>982434.81436928338</v>
      </c>
      <c r="F9" s="36"/>
      <c r="G9" s="32" t="s">
        <v>281</v>
      </c>
      <c r="H9" s="39">
        <v>4122</v>
      </c>
      <c r="I9" s="17"/>
      <c r="J9" s="17"/>
      <c r="K9" s="23"/>
    </row>
    <row r="10" spans="1:16" x14ac:dyDescent="0.25">
      <c r="F10" s="36"/>
      <c r="G10" s="32" t="s">
        <v>280</v>
      </c>
      <c r="H10" s="39">
        <v>2785</v>
      </c>
      <c r="I10" s="17"/>
      <c r="J10" s="17"/>
      <c r="K10" s="23"/>
    </row>
    <row r="11" spans="1:16" ht="16.5" thickBot="1" x14ac:dyDescent="0.3">
      <c r="F11" s="37"/>
      <c r="G11" s="33" t="s">
        <v>35</v>
      </c>
      <c r="H11" s="40">
        <v>2</v>
      </c>
      <c r="I11" s="18"/>
      <c r="J11" s="18"/>
      <c r="K11" s="24"/>
    </row>
    <row r="12" spans="1:16" ht="16.5" thickBot="1" x14ac:dyDescent="0.3"/>
    <row r="13" spans="1:16" s="10" customFormat="1" ht="49.5" customHeight="1" thickBot="1" x14ac:dyDescent="0.3">
      <c r="A13" s="13" t="s">
        <v>21</v>
      </c>
      <c r="B13" s="14" t="s">
        <v>22</v>
      </c>
      <c r="C13" s="14" t="s">
        <v>16</v>
      </c>
      <c r="D13" s="14" t="s">
        <v>17</v>
      </c>
      <c r="E13" s="29" t="s">
        <v>23</v>
      </c>
      <c r="F13" s="38" t="s">
        <v>24</v>
      </c>
      <c r="G13" s="29" t="s">
        <v>25</v>
      </c>
      <c r="H13" s="14" t="s">
        <v>7</v>
      </c>
      <c r="I13" s="14" t="s">
        <v>26</v>
      </c>
      <c r="J13" s="14" t="s">
        <v>27</v>
      </c>
      <c r="K13" s="20" t="s">
        <v>28</v>
      </c>
      <c r="L13" s="20" t="s">
        <v>36</v>
      </c>
      <c r="M13" s="20" t="s">
        <v>30</v>
      </c>
      <c r="N13" s="20" t="s">
        <v>31</v>
      </c>
      <c r="O13" s="20" t="s">
        <v>37</v>
      </c>
      <c r="P13" s="27" t="s">
        <v>32</v>
      </c>
    </row>
    <row r="14" spans="1:16" ht="16.5" thickBot="1" x14ac:dyDescent="0.3">
      <c r="A14" s="73" t="str">
        <f>IF(G14&lt;&gt;"",1+MAX($A$13:A13),"")</f>
        <v/>
      </c>
      <c r="B14" s="69"/>
      <c r="C14" s="69" t="s">
        <v>276</v>
      </c>
      <c r="D14" s="67" t="s">
        <v>277</v>
      </c>
      <c r="E14" s="71"/>
      <c r="F14" s="72"/>
      <c r="G14" s="71"/>
      <c r="H14" s="71"/>
      <c r="I14" s="67"/>
      <c r="J14" s="67"/>
      <c r="K14" s="68"/>
      <c r="L14" s="68"/>
      <c r="M14" s="68"/>
      <c r="N14" s="68"/>
      <c r="O14" s="70"/>
      <c r="P14" s="74">
        <f>SUM(O15:O37)</f>
        <v>43739.671761337217</v>
      </c>
    </row>
    <row r="15" spans="1:16" x14ac:dyDescent="0.25">
      <c r="A15" s="41"/>
      <c r="D15" s="97"/>
      <c r="E15" s="99"/>
      <c r="G15" s="98"/>
      <c r="I15" s="93"/>
      <c r="J15" s="94"/>
      <c r="P15" s="92"/>
    </row>
    <row r="16" spans="1:16" x14ac:dyDescent="0.25">
      <c r="A16" s="41" t="str">
        <f>IF(G16&lt;&gt;"",1+MAX($A$13:A15),"")</f>
        <v/>
      </c>
      <c r="D16" s="103" t="s">
        <v>44</v>
      </c>
      <c r="E16"/>
      <c r="I16" s="93"/>
      <c r="J16" s="94"/>
      <c r="K16" s="104"/>
      <c r="P16" s="92"/>
    </row>
    <row r="17" spans="1:16" x14ac:dyDescent="0.25">
      <c r="A17" s="41">
        <f>IF(G17&lt;&gt;"",1+MAX($A$13:A16),"")</f>
        <v>1</v>
      </c>
      <c r="C17" s="89" t="s">
        <v>276</v>
      </c>
      <c r="D17" s="96" t="s">
        <v>45</v>
      </c>
      <c r="E17" s="100">
        <f>2396.71*0.334/27</f>
        <v>29.648190370370372</v>
      </c>
      <c r="F17" s="91">
        <f>VLOOKUP(H17,'PROJECT SUMMARY'!$C$24:$D$31,2,0)</f>
        <v>0.05</v>
      </c>
      <c r="G17" s="95">
        <f t="shared" ref="G17:G19" si="0">E17*(1+F17)</f>
        <v>31.130599888888892</v>
      </c>
      <c r="H17" s="89" t="s">
        <v>15</v>
      </c>
      <c r="I17" s="93">
        <v>3.5</v>
      </c>
      <c r="J17" s="94">
        <f t="shared" ref="J17:J19" si="1">I17*G17</f>
        <v>108.95709961111112</v>
      </c>
      <c r="K17" s="90">
        <v>55</v>
      </c>
      <c r="L17" s="90">
        <f t="shared" ref="L17:L19" si="2">K17*J17</f>
        <v>5992.6404786111116</v>
      </c>
      <c r="M17" s="90">
        <v>256</v>
      </c>
      <c r="N17" s="90">
        <f t="shared" ref="N17:N19" si="3">M17*G17</f>
        <v>7969.4335715555562</v>
      </c>
      <c r="O17" s="90">
        <f t="shared" ref="O17:O19" si="4">L17+N17</f>
        <v>13962.074050166668</v>
      </c>
      <c r="P17" s="92"/>
    </row>
    <row r="18" spans="1:16" x14ac:dyDescent="0.25">
      <c r="A18" s="41">
        <f>IF(G18&lt;&gt;"",1+MAX($A$13:A17),"")</f>
        <v>2</v>
      </c>
      <c r="C18" s="89" t="s">
        <v>276</v>
      </c>
      <c r="D18" s="96" t="s">
        <v>46</v>
      </c>
      <c r="E18" s="100">
        <f>2396.71*0.5/27</f>
        <v>44.383518518518521</v>
      </c>
      <c r="F18" s="91">
        <f>VLOOKUP(H18,'PROJECT SUMMARY'!$C$24:$D$31,2,0)</f>
        <v>0.05</v>
      </c>
      <c r="G18" s="95">
        <f t="shared" si="0"/>
        <v>46.602694444444452</v>
      </c>
      <c r="H18" s="89" t="s">
        <v>15</v>
      </c>
      <c r="I18" s="93">
        <v>0.55000000000000004</v>
      </c>
      <c r="J18" s="94">
        <f t="shared" si="1"/>
        <v>25.631481944444452</v>
      </c>
      <c r="K18" s="90">
        <v>55</v>
      </c>
      <c r="L18" s="90">
        <f t="shared" si="2"/>
        <v>1409.7315069444448</v>
      </c>
      <c r="M18" s="90">
        <v>42.1</v>
      </c>
      <c r="N18" s="90">
        <f t="shared" si="3"/>
        <v>1961.9734361111116</v>
      </c>
      <c r="O18" s="90">
        <f t="shared" si="4"/>
        <v>3371.7049430555562</v>
      </c>
      <c r="P18" s="92"/>
    </row>
    <row r="19" spans="1:16" x14ac:dyDescent="0.25">
      <c r="A19" s="41">
        <f>IF(G19&lt;&gt;"",1+MAX($A$13:A18),"")</f>
        <v>3</v>
      </c>
      <c r="C19" s="89" t="s">
        <v>276</v>
      </c>
      <c r="D19" s="96" t="s">
        <v>47</v>
      </c>
      <c r="E19" s="100">
        <v>2396.71</v>
      </c>
      <c r="F19" s="91">
        <f>VLOOKUP(H19,'PROJECT SUMMARY'!$C$24:$D$31,2,0)</f>
        <v>0.05</v>
      </c>
      <c r="G19" s="95">
        <f t="shared" si="0"/>
        <v>2516.5455000000002</v>
      </c>
      <c r="H19" s="89" t="s">
        <v>11</v>
      </c>
      <c r="I19" s="93">
        <v>6.0000000000000001E-3</v>
      </c>
      <c r="J19" s="94">
        <f t="shared" si="1"/>
        <v>15.099273000000002</v>
      </c>
      <c r="K19" s="90">
        <v>55</v>
      </c>
      <c r="L19" s="90">
        <f t="shared" si="2"/>
        <v>830.46001500000011</v>
      </c>
      <c r="M19" s="90">
        <v>0.38</v>
      </c>
      <c r="N19" s="90">
        <f t="shared" si="3"/>
        <v>956.2872900000001</v>
      </c>
      <c r="O19" s="90">
        <f t="shared" si="4"/>
        <v>1786.7473050000003</v>
      </c>
      <c r="P19" s="92"/>
    </row>
    <row r="20" spans="1:16" x14ac:dyDescent="0.25">
      <c r="A20" s="41" t="str">
        <f>IF(G20&lt;&gt;"",1+MAX($A$13:A19),"")</f>
        <v/>
      </c>
      <c r="D20" s="96"/>
      <c r="E20" s="100"/>
      <c r="I20" s="93"/>
      <c r="J20" s="94"/>
      <c r="K20" s="104"/>
      <c r="P20" s="92"/>
    </row>
    <row r="21" spans="1:16" x14ac:dyDescent="0.25">
      <c r="A21" s="41" t="str">
        <f>IF(G21&lt;&gt;"",1+MAX($A$13:A20),"")</f>
        <v/>
      </c>
      <c r="D21" s="103" t="s">
        <v>49</v>
      </c>
      <c r="E21"/>
      <c r="I21" s="93"/>
      <c r="J21" s="94"/>
      <c r="K21" s="104"/>
      <c r="P21" s="92"/>
    </row>
    <row r="22" spans="1:16" x14ac:dyDescent="0.25">
      <c r="A22" s="41">
        <f>IF(G22&lt;&gt;"",1+MAX($A$13:A21),"")</f>
        <v>4</v>
      </c>
      <c r="C22" s="89" t="s">
        <v>276</v>
      </c>
      <c r="D22" s="96" t="s">
        <v>50</v>
      </c>
      <c r="E22" s="100">
        <f>441.32*0.667*1.334/27</f>
        <v>14.543586183703708</v>
      </c>
      <c r="F22" s="91">
        <f>VLOOKUP(H22,'PROJECT SUMMARY'!$C$24:$D$31,2,0)</f>
        <v>0.05</v>
      </c>
      <c r="G22" s="95">
        <f t="shared" ref="G22" si="5">E22*(1+F22)</f>
        <v>15.270765492888893</v>
      </c>
      <c r="H22" s="89" t="s">
        <v>15</v>
      </c>
      <c r="I22" s="93">
        <v>3.5</v>
      </c>
      <c r="J22" s="94">
        <f t="shared" ref="J22" si="6">I22*G22</f>
        <v>53.447679225111123</v>
      </c>
      <c r="K22" s="90">
        <v>55</v>
      </c>
      <c r="L22" s="90">
        <f>K22*J22</f>
        <v>2939.6223573811117</v>
      </c>
      <c r="M22" s="90">
        <v>256</v>
      </c>
      <c r="N22" s="90">
        <f>M22*G22</f>
        <v>3909.3159661795567</v>
      </c>
      <c r="O22" s="90">
        <f t="shared" ref="O22" si="7">L22+N22</f>
        <v>6848.9383235606683</v>
      </c>
      <c r="P22" s="92"/>
    </row>
    <row r="23" spans="1:16" x14ac:dyDescent="0.25">
      <c r="A23" s="41" t="str">
        <f>IF(G23&lt;&gt;"",1+MAX($A$13:A22),"")</f>
        <v/>
      </c>
      <c r="D23" s="96"/>
      <c r="E23" s="100"/>
      <c r="I23" s="93"/>
      <c r="J23" s="94"/>
      <c r="K23" s="104"/>
      <c r="P23" s="92"/>
    </row>
    <row r="24" spans="1:16" x14ac:dyDescent="0.25">
      <c r="A24" s="41" t="str">
        <f>IF(G24&lt;&gt;"",1+MAX($A$13:A23),"")</f>
        <v/>
      </c>
      <c r="D24" s="103" t="s">
        <v>51</v>
      </c>
      <c r="E24"/>
      <c r="I24" s="93"/>
      <c r="J24" s="94"/>
      <c r="K24" s="104"/>
      <c r="P24" s="92"/>
    </row>
    <row r="25" spans="1:16" x14ac:dyDescent="0.25">
      <c r="A25" s="41">
        <f>IF(G25&lt;&gt;"",1+MAX($A$13:A24),"")</f>
        <v>5</v>
      </c>
      <c r="C25" s="89" t="s">
        <v>276</v>
      </c>
      <c r="D25" s="96" t="s">
        <v>52</v>
      </c>
      <c r="E25" s="100">
        <f>((17.92*1)+(42.04*1.667)+(60.08*4.5)+(127.64*1.5)+(39.21*2.334))*0.667/27</f>
        <v>15.843394775555556</v>
      </c>
      <c r="F25" s="91">
        <f>VLOOKUP(H25,'PROJECT SUMMARY'!$C$24:$D$31,2,0)</f>
        <v>0.05</v>
      </c>
      <c r="G25" s="95">
        <f t="shared" ref="G25:G26" si="8">E25*(1+F25)</f>
        <v>16.635564514333335</v>
      </c>
      <c r="H25" s="89" t="s">
        <v>15</v>
      </c>
      <c r="I25" s="93">
        <v>3.5</v>
      </c>
      <c r="J25" s="94">
        <f t="shared" ref="J25" si="9">I25*G25</f>
        <v>58.224475800166672</v>
      </c>
      <c r="K25" s="90">
        <v>55</v>
      </c>
      <c r="L25" s="90">
        <f>K25*J25</f>
        <v>3202.3461690091672</v>
      </c>
      <c r="M25" s="90">
        <v>256</v>
      </c>
      <c r="N25" s="90">
        <f t="shared" ref="N25:N26" si="10">M25*G25</f>
        <v>4258.7045156693339</v>
      </c>
      <c r="O25" s="90">
        <f t="shared" ref="O25:O26" si="11">L25+N25</f>
        <v>7461.0506846785011</v>
      </c>
      <c r="P25" s="92"/>
    </row>
    <row r="26" spans="1:16" x14ac:dyDescent="0.25">
      <c r="A26" s="41">
        <f>IF(G26&lt;&gt;"",1+MAX($A$13:A25),"")</f>
        <v>6</v>
      </c>
      <c r="C26" s="89" t="s">
        <v>276</v>
      </c>
      <c r="D26" s="96" t="s">
        <v>53</v>
      </c>
      <c r="E26" s="100">
        <f>((17.92*1)+(42.04*1.667)+(60.08*4.5)+(127.64*1.5)+(39.21*2.334))</f>
        <v>641.33681999999999</v>
      </c>
      <c r="F26" s="91">
        <f>VLOOKUP(H26,'PROJECT SUMMARY'!$C$24:$D$31,2,0)</f>
        <v>0.05</v>
      </c>
      <c r="G26" s="95">
        <f t="shared" si="8"/>
        <v>673.40366100000006</v>
      </c>
      <c r="H26" s="89" t="s">
        <v>11</v>
      </c>
      <c r="I26" s="93">
        <v>0.02</v>
      </c>
      <c r="J26" s="94">
        <f t="shared" ref="J26" si="12">I26*G26</f>
        <v>13.468073220000001</v>
      </c>
      <c r="K26" s="90">
        <v>55</v>
      </c>
      <c r="L26" s="90">
        <f t="shared" ref="L26" si="13">K26*J26</f>
        <v>740.74402710000004</v>
      </c>
      <c r="M26" s="90">
        <v>1.8</v>
      </c>
      <c r="N26" s="90">
        <f t="shared" si="10"/>
        <v>1212.1265898000001</v>
      </c>
      <c r="O26" s="90">
        <f t="shared" si="11"/>
        <v>1952.8706169000002</v>
      </c>
      <c r="P26" s="92"/>
    </row>
    <row r="27" spans="1:16" x14ac:dyDescent="0.25">
      <c r="A27" s="41" t="str">
        <f>IF(G27&lt;&gt;"",1+MAX($A$13:A26),"")</f>
        <v/>
      </c>
      <c r="D27" s="96"/>
      <c r="E27" s="100"/>
      <c r="I27" s="93"/>
      <c r="J27" s="94"/>
      <c r="K27" s="104"/>
      <c r="P27" s="92"/>
    </row>
    <row r="28" spans="1:16" x14ac:dyDescent="0.25">
      <c r="A28" s="41" t="str">
        <f>IF(G28&lt;&gt;"",1+MAX($A$13:A27),"")</f>
        <v/>
      </c>
      <c r="D28" s="103" t="s">
        <v>54</v>
      </c>
      <c r="E28"/>
      <c r="I28" s="93"/>
      <c r="J28" s="94"/>
      <c r="K28" s="104"/>
      <c r="P28" s="92"/>
    </row>
    <row r="29" spans="1:16" x14ac:dyDescent="0.25">
      <c r="A29" s="41">
        <f>IF(G29&lt;&gt;"",1+MAX($A$13:A28),"")</f>
        <v>7</v>
      </c>
      <c r="C29" s="89" t="s">
        <v>276</v>
      </c>
      <c r="D29" s="96" t="s">
        <v>55</v>
      </c>
      <c r="E29" s="100">
        <f>2*3.5*8*1.5/7</f>
        <v>12</v>
      </c>
      <c r="F29" s="91">
        <f>VLOOKUP(H29,'PROJECT SUMMARY'!$C$24:$D$31,2,0)</f>
        <v>0.05</v>
      </c>
      <c r="G29" s="95">
        <f t="shared" ref="G29:G33" si="14">E29*(1+F29)</f>
        <v>12.600000000000001</v>
      </c>
      <c r="H29" s="89" t="s">
        <v>15</v>
      </c>
      <c r="I29" s="93">
        <v>3.5</v>
      </c>
      <c r="J29" s="94">
        <f t="shared" ref="J29:J33" si="15">I29*G29</f>
        <v>44.100000000000009</v>
      </c>
      <c r="K29" s="90">
        <v>55</v>
      </c>
      <c r="L29" s="90">
        <f t="shared" ref="L29:L33" si="16">K29*J29</f>
        <v>2425.5000000000005</v>
      </c>
      <c r="M29" s="90">
        <v>256</v>
      </c>
      <c r="N29" s="90">
        <f t="shared" ref="N29:N33" si="17">M29*G29</f>
        <v>3225.6000000000004</v>
      </c>
      <c r="O29" s="90">
        <f t="shared" ref="O29:O33" si="18">L29+N29</f>
        <v>5651.1</v>
      </c>
      <c r="P29" s="92"/>
    </row>
    <row r="30" spans="1:16" x14ac:dyDescent="0.25">
      <c r="A30" s="41">
        <f>IF(G30&lt;&gt;"",1+MAX($A$13:A29),"")</f>
        <v>8</v>
      </c>
      <c r="C30" s="89" t="s">
        <v>276</v>
      </c>
      <c r="D30" s="96" t="s">
        <v>56</v>
      </c>
      <c r="E30" s="100">
        <f>1*2.667*2*1/27</f>
        <v>0.19755555555555554</v>
      </c>
      <c r="F30" s="91">
        <f>VLOOKUP(H30,'PROJECT SUMMARY'!$C$24:$D$31,2,0)</f>
        <v>0.05</v>
      </c>
      <c r="G30" s="95">
        <f t="shared" si="14"/>
        <v>0.20743333333333333</v>
      </c>
      <c r="H30" s="89" t="s">
        <v>15</v>
      </c>
      <c r="I30" s="93">
        <v>3.5</v>
      </c>
      <c r="J30" s="94">
        <f t="shared" si="15"/>
        <v>0.72601666666666664</v>
      </c>
      <c r="K30" s="90">
        <v>55</v>
      </c>
      <c r="L30" s="90">
        <f t="shared" si="16"/>
        <v>39.930916666666668</v>
      </c>
      <c r="M30" s="90">
        <v>256</v>
      </c>
      <c r="N30" s="90">
        <f t="shared" si="17"/>
        <v>53.102933333333333</v>
      </c>
      <c r="O30" s="90">
        <f t="shared" si="18"/>
        <v>93.033850000000001</v>
      </c>
      <c r="P30" s="92"/>
    </row>
    <row r="31" spans="1:16" x14ac:dyDescent="0.25">
      <c r="A31" s="41">
        <f>IF(G31&lt;&gt;"",1+MAX($A$13:A30),"")</f>
        <v>9</v>
      </c>
      <c r="C31" s="89" t="s">
        <v>276</v>
      </c>
      <c r="D31" s="96" t="s">
        <v>57</v>
      </c>
      <c r="E31" s="100">
        <f>3*2.667*3.1667*1/27</f>
        <v>0.93839876666666655</v>
      </c>
      <c r="F31" s="91">
        <f>VLOOKUP(H31,'PROJECT SUMMARY'!$C$24:$D$31,2,0)</f>
        <v>0.05</v>
      </c>
      <c r="G31" s="95">
        <f t="shared" si="14"/>
        <v>0.98531870499999996</v>
      </c>
      <c r="H31" s="89" t="s">
        <v>15</v>
      </c>
      <c r="I31" s="93">
        <v>3.5</v>
      </c>
      <c r="J31" s="94">
        <f t="shared" si="15"/>
        <v>3.4486154674999998</v>
      </c>
      <c r="K31" s="90">
        <v>55</v>
      </c>
      <c r="L31" s="90">
        <f t="shared" si="16"/>
        <v>189.67385071249998</v>
      </c>
      <c r="M31" s="90">
        <v>256</v>
      </c>
      <c r="N31" s="90">
        <f t="shared" si="17"/>
        <v>252.24158847999999</v>
      </c>
      <c r="O31" s="90">
        <f t="shared" si="18"/>
        <v>441.9154391925</v>
      </c>
      <c r="P31" s="92"/>
    </row>
    <row r="32" spans="1:16" x14ac:dyDescent="0.25">
      <c r="A32" s="41">
        <f>IF(G32&lt;&gt;"",1+MAX($A$13:A31),"")</f>
        <v>10</v>
      </c>
      <c r="C32" s="89" t="s">
        <v>276</v>
      </c>
      <c r="D32" s="96" t="s">
        <v>58</v>
      </c>
      <c r="E32" s="100">
        <f>2*2.5*3.667*1.5/27</f>
        <v>1.0186111111111111</v>
      </c>
      <c r="F32" s="91">
        <f>VLOOKUP(H32,'PROJECT SUMMARY'!$C$24:$D$31,2,0)</f>
        <v>0.05</v>
      </c>
      <c r="G32" s="95">
        <f t="shared" si="14"/>
        <v>1.0695416666666668</v>
      </c>
      <c r="H32" s="89" t="s">
        <v>15</v>
      </c>
      <c r="I32" s="93">
        <v>3.5</v>
      </c>
      <c r="J32" s="94">
        <f t="shared" si="15"/>
        <v>3.7433958333333339</v>
      </c>
      <c r="K32" s="90">
        <v>55</v>
      </c>
      <c r="L32" s="90">
        <f t="shared" si="16"/>
        <v>205.88677083333337</v>
      </c>
      <c r="M32" s="90">
        <v>256</v>
      </c>
      <c r="N32" s="90">
        <f t="shared" si="17"/>
        <v>273.80266666666671</v>
      </c>
      <c r="O32" s="90">
        <f t="shared" si="18"/>
        <v>479.68943750000005</v>
      </c>
      <c r="P32" s="92"/>
    </row>
    <row r="33" spans="1:16" x14ac:dyDescent="0.25">
      <c r="A33" s="41">
        <f>IF(G33&lt;&gt;"",1+MAX($A$13:A32),"")</f>
        <v>11</v>
      </c>
      <c r="C33" s="89" t="s">
        <v>276</v>
      </c>
      <c r="D33" s="96" t="s">
        <v>59</v>
      </c>
      <c r="E33" s="100">
        <f>2*2.667*2.667*1/27</f>
        <v>0.52688066666666655</v>
      </c>
      <c r="F33" s="91">
        <f>VLOOKUP(H33,'PROJECT SUMMARY'!$C$24:$D$31,2,0)</f>
        <v>0.05</v>
      </c>
      <c r="G33" s="95">
        <f t="shared" si="14"/>
        <v>0.5532246999999999</v>
      </c>
      <c r="H33" s="89" t="s">
        <v>15</v>
      </c>
      <c r="I33" s="93">
        <v>3.5</v>
      </c>
      <c r="J33" s="94">
        <f t="shared" si="15"/>
        <v>1.9362864499999997</v>
      </c>
      <c r="K33" s="90">
        <v>55</v>
      </c>
      <c r="L33" s="90">
        <f t="shared" si="16"/>
        <v>106.49575474999997</v>
      </c>
      <c r="M33" s="90">
        <v>256</v>
      </c>
      <c r="N33" s="90">
        <f t="shared" si="17"/>
        <v>141.62552319999998</v>
      </c>
      <c r="O33" s="90">
        <f t="shared" si="18"/>
        <v>248.12127794999995</v>
      </c>
      <c r="P33" s="92"/>
    </row>
    <row r="34" spans="1:16" x14ac:dyDescent="0.25">
      <c r="A34" s="41" t="str">
        <f>IF(G34&lt;&gt;"",1+MAX($A$13:A33),"")</f>
        <v/>
      </c>
      <c r="D34" s="105"/>
      <c r="E34"/>
      <c r="I34" s="93"/>
      <c r="J34" s="94"/>
      <c r="K34" s="104"/>
      <c r="P34" s="92"/>
    </row>
    <row r="35" spans="1:16" x14ac:dyDescent="0.25">
      <c r="A35" s="41" t="str">
        <f>IF(G35&lt;&gt;"",1+MAX($A$13:A34),"")</f>
        <v/>
      </c>
      <c r="D35" s="103" t="s">
        <v>60</v>
      </c>
      <c r="E35"/>
      <c r="I35" s="93"/>
      <c r="J35" s="94"/>
      <c r="K35" s="104"/>
      <c r="P35" s="92"/>
    </row>
    <row r="36" spans="1:16" x14ac:dyDescent="0.25">
      <c r="A36" s="41">
        <f>IF(G36&lt;&gt;"",1+MAX($A$13:A35),"")</f>
        <v>12</v>
      </c>
      <c r="C36" s="89" t="s">
        <v>276</v>
      </c>
      <c r="D36" s="96" t="s">
        <v>61</v>
      </c>
      <c r="E36" s="100">
        <f>8.27*10/27</f>
        <v>3.0629629629629624</v>
      </c>
      <c r="F36" s="91">
        <f>VLOOKUP(H36,'PROJECT SUMMARY'!$C$24:$D$31,2,0)</f>
        <v>0.05</v>
      </c>
      <c r="G36" s="95">
        <f t="shared" ref="G36" si="19">E36*(1+F36)</f>
        <v>3.2161111111111107</v>
      </c>
      <c r="H36" s="89" t="s">
        <v>15</v>
      </c>
      <c r="I36" s="93">
        <v>3.5</v>
      </c>
      <c r="J36" s="94">
        <f t="shared" ref="J36" si="20">I36*G36</f>
        <v>11.256388888888887</v>
      </c>
      <c r="K36" s="90">
        <v>55</v>
      </c>
      <c r="L36" s="90">
        <f>K36*J36</f>
        <v>619.10138888888878</v>
      </c>
      <c r="M36" s="90">
        <v>256</v>
      </c>
      <c r="N36" s="90">
        <f>M36*G36</f>
        <v>823.32444444444434</v>
      </c>
      <c r="O36" s="90">
        <f t="shared" ref="O36" si="21">L36+N36</f>
        <v>1442.4258333333332</v>
      </c>
      <c r="P36" s="92"/>
    </row>
    <row r="37" spans="1:16" ht="16.5" thickBot="1" x14ac:dyDescent="0.3">
      <c r="A37" s="41" t="str">
        <f>IF(G37&lt;&gt;"",1+MAX($A$13:A36),"")</f>
        <v/>
      </c>
      <c r="D37" s="105"/>
      <c r="E37"/>
      <c r="I37" s="93"/>
      <c r="J37" s="94"/>
      <c r="K37" s="104"/>
      <c r="P37" s="92"/>
    </row>
    <row r="38" spans="1:16" ht="16.5" thickBot="1" x14ac:dyDescent="0.3">
      <c r="A38" s="73" t="str">
        <f>IF(G38&lt;&gt;"",1+MAX($A$13:A37),"")</f>
        <v/>
      </c>
      <c r="B38" s="69"/>
      <c r="C38" s="69" t="s">
        <v>62</v>
      </c>
      <c r="D38" s="67" t="s">
        <v>63</v>
      </c>
      <c r="E38" s="71"/>
      <c r="F38" s="72"/>
      <c r="G38" s="71"/>
      <c r="H38" s="71"/>
      <c r="I38" s="67"/>
      <c r="J38" s="67"/>
      <c r="K38" s="68"/>
      <c r="L38" s="68"/>
      <c r="M38" s="68"/>
      <c r="N38" s="68"/>
      <c r="O38" s="70"/>
      <c r="P38" s="74">
        <f>SUM(O39:O42)</f>
        <v>7193.1273750000009</v>
      </c>
    </row>
    <row r="39" spans="1:16" x14ac:dyDescent="0.25">
      <c r="A39" s="41" t="str">
        <f>IF(G39&lt;&gt;"",1+MAX($A$13:A38),"")</f>
        <v/>
      </c>
      <c r="D39"/>
      <c r="E39"/>
      <c r="I39" s="93"/>
      <c r="J39" s="94"/>
      <c r="K39" s="104"/>
      <c r="P39" s="92"/>
    </row>
    <row r="40" spans="1:16" x14ac:dyDescent="0.25">
      <c r="A40" s="41" t="str">
        <f>IF(G40&lt;&gt;"",1+MAX($A$13:A39),"")</f>
        <v/>
      </c>
      <c r="D40" s="103" t="s">
        <v>63</v>
      </c>
      <c r="E40"/>
      <c r="I40" s="93"/>
      <c r="J40" s="94"/>
      <c r="K40" s="104"/>
      <c r="P40" s="92"/>
    </row>
    <row r="41" spans="1:16" x14ac:dyDescent="0.25">
      <c r="A41" s="41">
        <f>IF(G41&lt;&gt;"",1+MAX($A$13:A40),"")</f>
        <v>13</v>
      </c>
      <c r="C41" s="89" t="s">
        <v>62</v>
      </c>
      <c r="D41" s="105" t="s">
        <v>64</v>
      </c>
      <c r="E41">
        <v>314.97000000000003</v>
      </c>
      <c r="F41" s="91">
        <f>VLOOKUP(H41,'PROJECT SUMMARY'!$C$24:$D$31,2,0)</f>
        <v>0.05</v>
      </c>
      <c r="G41" s="95">
        <f t="shared" ref="G41" si="22">E41*(1+F41)</f>
        <v>330.71850000000006</v>
      </c>
      <c r="H41" s="89" t="s">
        <v>11</v>
      </c>
      <c r="I41" s="93">
        <v>0.25</v>
      </c>
      <c r="J41" s="94">
        <f t="shared" ref="J41" si="23">I41*G41</f>
        <v>82.679625000000016</v>
      </c>
      <c r="K41" s="90">
        <v>55</v>
      </c>
      <c r="L41" s="90">
        <f>K41*J41</f>
        <v>4547.3793750000004</v>
      </c>
      <c r="M41" s="90">
        <v>8</v>
      </c>
      <c r="N41" s="90">
        <f>M41*G41</f>
        <v>2645.7480000000005</v>
      </c>
      <c r="O41" s="90">
        <f t="shared" ref="O41" si="24">L41+N41</f>
        <v>7193.1273750000009</v>
      </c>
      <c r="P41" s="92"/>
    </row>
    <row r="42" spans="1:16" ht="16.5" thickBot="1" x14ac:dyDescent="0.3">
      <c r="A42" s="41" t="str">
        <f>IF(G42&lt;&gt;"",1+MAX($A$13:A41),"")</f>
        <v/>
      </c>
      <c r="D42" s="105"/>
      <c r="E42"/>
      <c r="I42" s="93"/>
      <c r="J42" s="94"/>
      <c r="K42" s="104"/>
      <c r="P42" s="92"/>
    </row>
    <row r="43" spans="1:16" ht="16.5" thickBot="1" x14ac:dyDescent="0.3">
      <c r="A43" s="73" t="str">
        <f>IF(G43&lt;&gt;"",1+MAX($A$13:A42),"")</f>
        <v/>
      </c>
      <c r="B43" s="69"/>
      <c r="C43" s="69" t="s">
        <v>268</v>
      </c>
      <c r="D43" s="67" t="s">
        <v>269</v>
      </c>
      <c r="E43" s="71"/>
      <c r="F43" s="72"/>
      <c r="G43" s="71"/>
      <c r="H43" s="71"/>
      <c r="I43" s="67"/>
      <c r="J43" s="67"/>
      <c r="K43" s="68"/>
      <c r="L43" s="68"/>
      <c r="M43" s="68"/>
      <c r="N43" s="68"/>
      <c r="O43" s="70"/>
      <c r="P43" s="74">
        <f>SUM(O44:O72)</f>
        <v>75422.794443421051</v>
      </c>
    </row>
    <row r="44" spans="1:16" x14ac:dyDescent="0.25">
      <c r="A44" s="41" t="str">
        <f>IF(G44&lt;&gt;"",1+MAX($A$13:A43),"")</f>
        <v/>
      </c>
      <c r="D44" s="105"/>
      <c r="E44"/>
      <c r="I44" s="93"/>
      <c r="J44" s="94"/>
      <c r="K44" s="104"/>
      <c r="P44" s="92"/>
    </row>
    <row r="45" spans="1:16" x14ac:dyDescent="0.25">
      <c r="A45" s="41" t="str">
        <f>IF(G45&lt;&gt;"",1+MAX($A$13:A44),"")</f>
        <v/>
      </c>
      <c r="D45" s="103" t="s">
        <v>65</v>
      </c>
      <c r="E45"/>
      <c r="I45" s="93"/>
      <c r="J45" s="94"/>
      <c r="K45" s="104"/>
      <c r="P45" s="92"/>
    </row>
    <row r="46" spans="1:16" x14ac:dyDescent="0.25">
      <c r="A46" s="41">
        <f>IF(G46&lt;&gt;"",1+MAX($A$13:A45),"")</f>
        <v>14</v>
      </c>
      <c r="C46" s="89" t="s">
        <v>268</v>
      </c>
      <c r="D46" s="96" t="s">
        <v>66</v>
      </c>
      <c r="E46" s="100">
        <f>(2203.02+638)/1.33</f>
        <v>2136.1052631578946</v>
      </c>
      <c r="F46" s="91">
        <f>VLOOKUP(H46,'PROJECT SUMMARY'!$C$24:$D$31,2,0)</f>
        <v>0.05</v>
      </c>
      <c r="G46" s="95">
        <f t="shared" ref="G46" si="25">E46*(1+F46)</f>
        <v>2242.9105263157894</v>
      </c>
      <c r="H46" s="89" t="s">
        <v>10</v>
      </c>
      <c r="I46" s="93">
        <v>4.8000000000000001E-2</v>
      </c>
      <c r="J46" s="94">
        <f t="shared" ref="J46" si="26">I46*G46</f>
        <v>107.65970526315789</v>
      </c>
      <c r="K46" s="90">
        <v>50</v>
      </c>
      <c r="L46" s="90">
        <f>K46*J46</f>
        <v>5382.9852631578942</v>
      </c>
      <c r="M46" s="90">
        <v>7.61</v>
      </c>
      <c r="N46" s="90">
        <f>M46*G46</f>
        <v>17068.549105263159</v>
      </c>
      <c r="O46" s="90">
        <f t="shared" ref="O46" si="27">L46+N46</f>
        <v>22451.534368421053</v>
      </c>
      <c r="P46" s="92"/>
    </row>
    <row r="47" spans="1:16" x14ac:dyDescent="0.25">
      <c r="A47" s="41" t="str">
        <f>IF(G47&lt;&gt;"",1+MAX($A$13:A46),"")</f>
        <v/>
      </c>
      <c r="D47" s="105"/>
      <c r="E47"/>
      <c r="I47" s="93"/>
      <c r="J47" s="94"/>
      <c r="K47" s="104"/>
      <c r="P47" s="92"/>
    </row>
    <row r="48" spans="1:16" x14ac:dyDescent="0.25">
      <c r="A48" s="41" t="str">
        <f>IF(G48&lt;&gt;"",1+MAX($A$13:A47),"")</f>
        <v/>
      </c>
      <c r="D48" s="103" t="s">
        <v>67</v>
      </c>
      <c r="E48"/>
      <c r="I48" s="93"/>
      <c r="J48" s="94"/>
      <c r="K48" s="104"/>
      <c r="P48" s="92"/>
    </row>
    <row r="49" spans="1:16" x14ac:dyDescent="0.25">
      <c r="A49" s="41">
        <f>IF(G49&lt;&gt;"",1+MAX($A$13:A48),"")</f>
        <v>15</v>
      </c>
      <c r="C49" s="89" t="s">
        <v>268</v>
      </c>
      <c r="D49" s="96" t="s">
        <v>68</v>
      </c>
      <c r="E49" s="100">
        <f>3399.92/2</f>
        <v>1699.96</v>
      </c>
      <c r="F49" s="91">
        <f>VLOOKUP(H49,'PROJECT SUMMARY'!$C$24:$D$31,2,0)</f>
        <v>0.05</v>
      </c>
      <c r="G49" s="95">
        <f t="shared" ref="G49" si="28">E49*(1+F49)</f>
        <v>1784.9580000000001</v>
      </c>
      <c r="H49" s="89" t="s">
        <v>10</v>
      </c>
      <c r="I49" s="93">
        <v>6.8000000000000005E-2</v>
      </c>
      <c r="J49" s="94">
        <f t="shared" ref="J49" si="29">I49*G49</f>
        <v>121.37714400000002</v>
      </c>
      <c r="K49" s="90">
        <v>50</v>
      </c>
      <c r="L49" s="90">
        <f>K49*J49</f>
        <v>6068.8572000000004</v>
      </c>
      <c r="M49" s="90">
        <v>9.11</v>
      </c>
      <c r="N49" s="90">
        <f>M49*G49</f>
        <v>16260.96738</v>
      </c>
      <c r="O49" s="90">
        <f t="shared" ref="O49" si="30">L49+N49</f>
        <v>22329.82458</v>
      </c>
      <c r="P49" s="92"/>
    </row>
    <row r="50" spans="1:16" x14ac:dyDescent="0.25">
      <c r="A50" s="41" t="str">
        <f>IF(G50&lt;&gt;"",1+MAX($A$13:A49),"")</f>
        <v/>
      </c>
      <c r="D50" s="105"/>
      <c r="E50"/>
      <c r="I50" s="93"/>
      <c r="J50" s="94"/>
      <c r="K50" s="104"/>
      <c r="P50" s="92"/>
    </row>
    <row r="51" spans="1:16" x14ac:dyDescent="0.25">
      <c r="A51" s="41" t="str">
        <f>IF(G51&lt;&gt;"",1+MAX($A$13:A50),"")</f>
        <v/>
      </c>
      <c r="D51" s="103" t="s">
        <v>69</v>
      </c>
      <c r="E51"/>
      <c r="I51" s="93"/>
      <c r="J51" s="94"/>
      <c r="K51" s="104"/>
      <c r="P51" s="92"/>
    </row>
    <row r="52" spans="1:16" x14ac:dyDescent="0.25">
      <c r="A52" s="41">
        <f>IF(G52&lt;&gt;"",1+MAX($A$13:A51),"")</f>
        <v>16</v>
      </c>
      <c r="C52" s="89" t="s">
        <v>268</v>
      </c>
      <c r="D52" s="96" t="s">
        <v>70</v>
      </c>
      <c r="E52" s="100">
        <f>2203.02+638</f>
        <v>2841.02</v>
      </c>
      <c r="F52" s="91">
        <f>VLOOKUP(H52,'PROJECT SUMMARY'!$C$24:$D$31,2,0)</f>
        <v>0.05</v>
      </c>
      <c r="G52" s="95">
        <f t="shared" ref="G52:G53" si="31">E52*(1+F52)</f>
        <v>2983.0709999999999</v>
      </c>
      <c r="H52" s="89" t="s">
        <v>11</v>
      </c>
      <c r="I52" s="93">
        <v>1.7999999999999999E-2</v>
      </c>
      <c r="J52" s="94">
        <f t="shared" ref="J52:J53" si="32">I52*G52</f>
        <v>53.695277999999995</v>
      </c>
      <c r="K52" s="90">
        <v>50</v>
      </c>
      <c r="L52" s="90">
        <f t="shared" ref="L52:L53" si="33">K52*J52</f>
        <v>2684.7638999999999</v>
      </c>
      <c r="M52" s="90">
        <v>1.42</v>
      </c>
      <c r="N52" s="90">
        <f t="shared" ref="N52:N53" si="34">M52*G52</f>
        <v>4235.9608199999993</v>
      </c>
      <c r="O52" s="90">
        <f t="shared" ref="O52:O53" si="35">L52+N52</f>
        <v>6920.7247199999993</v>
      </c>
      <c r="P52" s="92"/>
    </row>
    <row r="53" spans="1:16" x14ac:dyDescent="0.25">
      <c r="A53" s="41">
        <f>IF(G53&lt;&gt;"",1+MAX($A$13:A52),"")</f>
        <v>17</v>
      </c>
      <c r="C53" s="89" t="s">
        <v>268</v>
      </c>
      <c r="D53" s="96" t="s">
        <v>71</v>
      </c>
      <c r="E53" s="100">
        <f>3399.92</f>
        <v>3399.92</v>
      </c>
      <c r="F53" s="91">
        <f>VLOOKUP(H53,'PROJECT SUMMARY'!$C$24:$D$31,2,0)</f>
        <v>0.05</v>
      </c>
      <c r="G53" s="95">
        <f t="shared" si="31"/>
        <v>3569.9160000000002</v>
      </c>
      <c r="H53" s="89" t="s">
        <v>11</v>
      </c>
      <c r="I53" s="93">
        <v>1.7999999999999999E-2</v>
      </c>
      <c r="J53" s="94">
        <f t="shared" si="32"/>
        <v>64.258488</v>
      </c>
      <c r="K53" s="90">
        <v>50</v>
      </c>
      <c r="L53" s="90">
        <f t="shared" si="33"/>
        <v>3212.9243999999999</v>
      </c>
      <c r="M53" s="90">
        <v>1.21</v>
      </c>
      <c r="N53" s="90">
        <f t="shared" si="34"/>
        <v>4319.59836</v>
      </c>
      <c r="O53" s="90">
        <f t="shared" si="35"/>
        <v>7532.5227599999998</v>
      </c>
      <c r="P53" s="92"/>
    </row>
    <row r="54" spans="1:16" x14ac:dyDescent="0.25">
      <c r="A54" s="41" t="str">
        <f>IF(G54&lt;&gt;"",1+MAX($A$13:A53),"")</f>
        <v/>
      </c>
      <c r="D54" s="105"/>
      <c r="E54"/>
      <c r="I54" s="93"/>
      <c r="J54" s="94"/>
      <c r="K54" s="104"/>
      <c r="P54" s="92"/>
    </row>
    <row r="55" spans="1:16" x14ac:dyDescent="0.25">
      <c r="A55" s="41" t="str">
        <f>IF(G55&lt;&gt;"",1+MAX($A$13:A54),"")</f>
        <v/>
      </c>
      <c r="D55" s="103" t="s">
        <v>72</v>
      </c>
      <c r="E55"/>
      <c r="I55" s="93"/>
      <c r="J55" s="94"/>
      <c r="K55" s="104"/>
      <c r="P55" s="92"/>
    </row>
    <row r="56" spans="1:16" x14ac:dyDescent="0.25">
      <c r="A56" s="41">
        <f>IF(G56&lt;&gt;"",1+MAX($A$13:A55),"")</f>
        <v>18</v>
      </c>
      <c r="C56" s="89" t="s">
        <v>268</v>
      </c>
      <c r="D56" s="96" t="s">
        <v>73</v>
      </c>
      <c r="E56" s="100">
        <f>5236.94+366+1028+122</f>
        <v>6752.94</v>
      </c>
      <c r="F56" s="91">
        <f>VLOOKUP(H56,'PROJECT SUMMARY'!$C$24:$D$31,2,0)</f>
        <v>0.05</v>
      </c>
      <c r="G56" s="95">
        <f t="shared" ref="G56:G57" si="36">E56*(1+F56)</f>
        <v>7090.5869999999995</v>
      </c>
      <c r="H56" s="89" t="s">
        <v>11</v>
      </c>
      <c r="I56" s="93">
        <v>1.2999999999999999E-2</v>
      </c>
      <c r="J56" s="94">
        <f t="shared" ref="J56:J57" si="37">I56*G56</f>
        <v>92.177630999999991</v>
      </c>
      <c r="K56" s="90">
        <v>50</v>
      </c>
      <c r="L56" s="90">
        <f t="shared" ref="L56:L57" si="38">K56*J56</f>
        <v>4608.8815499999992</v>
      </c>
      <c r="M56" s="90">
        <v>0.44</v>
      </c>
      <c r="N56" s="90">
        <f t="shared" ref="N56:N57" si="39">M56*G56</f>
        <v>3119.8582799999999</v>
      </c>
      <c r="O56" s="90">
        <f t="shared" ref="O56:O57" si="40">L56+N56</f>
        <v>7728.7398299999986</v>
      </c>
      <c r="P56" s="92"/>
    </row>
    <row r="57" spans="1:16" x14ac:dyDescent="0.25">
      <c r="A57" s="41">
        <f>IF(G57&lt;&gt;"",1+MAX($A$13:A56),"")</f>
        <v>19</v>
      </c>
      <c r="C57" s="89" t="s">
        <v>268</v>
      </c>
      <c r="D57" s="96" t="s">
        <v>74</v>
      </c>
      <c r="E57" s="100">
        <f>41.64*4</f>
        <v>166.56</v>
      </c>
      <c r="F57" s="91">
        <f>VLOOKUP(H57,'PROJECT SUMMARY'!$C$24:$D$31,2,0)</f>
        <v>0.05</v>
      </c>
      <c r="G57" s="95">
        <f t="shared" si="36"/>
        <v>174.88800000000001</v>
      </c>
      <c r="H57" s="89" t="s">
        <v>11</v>
      </c>
      <c r="I57" s="93">
        <v>1.2999999999999999E-2</v>
      </c>
      <c r="J57" s="94">
        <f t="shared" si="37"/>
        <v>2.2735439999999998</v>
      </c>
      <c r="K57" s="90">
        <v>50</v>
      </c>
      <c r="L57" s="90">
        <f t="shared" si="38"/>
        <v>113.67719999999998</v>
      </c>
      <c r="M57" s="90">
        <v>0.44</v>
      </c>
      <c r="N57" s="90">
        <f t="shared" si="39"/>
        <v>76.950720000000004</v>
      </c>
      <c r="O57" s="90">
        <f t="shared" si="40"/>
        <v>190.62791999999999</v>
      </c>
      <c r="P57" s="92"/>
    </row>
    <row r="58" spans="1:16" x14ac:dyDescent="0.25">
      <c r="A58" s="41" t="str">
        <f>IF(G58&lt;&gt;"",1+MAX($A$13:A57),"")</f>
        <v/>
      </c>
      <c r="D58" s="105"/>
      <c r="E58"/>
      <c r="I58" s="93"/>
      <c r="J58" s="94"/>
      <c r="K58" s="104"/>
      <c r="P58" s="92"/>
    </row>
    <row r="59" spans="1:16" x14ac:dyDescent="0.25">
      <c r="A59" s="41" t="str">
        <f>IF(G59&lt;&gt;"",1+MAX($A$13:A58),"")</f>
        <v/>
      </c>
      <c r="D59" s="105" t="s">
        <v>75</v>
      </c>
      <c r="E59">
        <v>123</v>
      </c>
      <c r="I59" s="93"/>
      <c r="J59" s="94"/>
      <c r="K59" s="104"/>
      <c r="P59" s="92"/>
    </row>
    <row r="60" spans="1:16" x14ac:dyDescent="0.25">
      <c r="A60" s="41">
        <f>IF(G60&lt;&gt;"",1+MAX($A$13:A59),"")</f>
        <v>20</v>
      </c>
      <c r="C60" s="89" t="s">
        <v>268</v>
      </c>
      <c r="D60" s="106" t="s">
        <v>76</v>
      </c>
      <c r="E60">
        <f>E59*10</f>
        <v>1230</v>
      </c>
      <c r="F60" s="91">
        <f>VLOOKUP(H60,'PROJECT SUMMARY'!$C$24:$D$31,2,0)</f>
        <v>0.05</v>
      </c>
      <c r="G60" s="95">
        <f t="shared" ref="G60:G62" si="41">E60*(1+F60)</f>
        <v>1291.5</v>
      </c>
      <c r="H60" s="89" t="s">
        <v>10</v>
      </c>
      <c r="I60" s="93">
        <v>8.0000000000000002E-3</v>
      </c>
      <c r="J60" s="94">
        <f t="shared" ref="J60:J62" si="42">I60*G60</f>
        <v>10.332000000000001</v>
      </c>
      <c r="K60" s="90">
        <v>50</v>
      </c>
      <c r="L60" s="90">
        <f t="shared" ref="L60:L62" si="43">K60*J60</f>
        <v>516.6</v>
      </c>
      <c r="M60" s="90">
        <v>0.02</v>
      </c>
      <c r="N60" s="90">
        <f t="shared" ref="N60:N62" si="44">M60*G60</f>
        <v>25.830000000000002</v>
      </c>
      <c r="O60" s="90">
        <f t="shared" ref="O60:O62" si="45">L60+N60</f>
        <v>542.43000000000006</v>
      </c>
      <c r="P60" s="92"/>
    </row>
    <row r="61" spans="1:16" x14ac:dyDescent="0.25">
      <c r="A61" s="41">
        <f>IF(G61&lt;&gt;"",1+MAX($A$13:A60),"")</f>
        <v>21</v>
      </c>
      <c r="C61" s="89" t="s">
        <v>268</v>
      </c>
      <c r="D61" s="106" t="s">
        <v>77</v>
      </c>
      <c r="E61">
        <f>E59*32*0.053</f>
        <v>208.608</v>
      </c>
      <c r="F61" s="91">
        <f>VLOOKUP(H61,'PROJECT SUMMARY'!$C$24:$D$31,2,0)</f>
        <v>0.05</v>
      </c>
      <c r="G61" s="95">
        <f t="shared" si="41"/>
        <v>219.03840000000002</v>
      </c>
      <c r="H61" s="89" t="s">
        <v>78</v>
      </c>
      <c r="I61" s="93">
        <v>0.05</v>
      </c>
      <c r="J61" s="94">
        <f t="shared" si="42"/>
        <v>10.951920000000001</v>
      </c>
      <c r="K61" s="90">
        <v>50</v>
      </c>
      <c r="L61" s="90">
        <f t="shared" si="43"/>
        <v>547.596</v>
      </c>
      <c r="M61" s="90">
        <v>0.5</v>
      </c>
      <c r="N61" s="90">
        <f t="shared" si="44"/>
        <v>109.51920000000001</v>
      </c>
      <c r="O61" s="90">
        <f t="shared" si="45"/>
        <v>657.11519999999996</v>
      </c>
      <c r="P61" s="92"/>
    </row>
    <row r="62" spans="1:16" x14ac:dyDescent="0.25">
      <c r="A62" s="41">
        <f>IF(G62&lt;&gt;"",1+MAX($A$13:A61),"")</f>
        <v>22</v>
      </c>
      <c r="C62" s="89" t="s">
        <v>268</v>
      </c>
      <c r="D62" s="106" t="s">
        <v>79</v>
      </c>
      <c r="E62">
        <f>E59*45</f>
        <v>5535</v>
      </c>
      <c r="F62" s="91">
        <f>VLOOKUP(H62,'PROJECT SUMMARY'!$C$24:$D$31,2,0)</f>
        <v>0</v>
      </c>
      <c r="G62" s="95">
        <f t="shared" si="41"/>
        <v>5535</v>
      </c>
      <c r="H62" s="89" t="s">
        <v>9</v>
      </c>
      <c r="I62" s="93">
        <v>2E-3</v>
      </c>
      <c r="J62" s="94">
        <f t="shared" si="42"/>
        <v>11.07</v>
      </c>
      <c r="K62" s="90">
        <v>50</v>
      </c>
      <c r="L62" s="90">
        <f t="shared" si="43"/>
        <v>553.5</v>
      </c>
      <c r="M62" s="90">
        <v>3.0000000000000001E-3</v>
      </c>
      <c r="N62" s="90">
        <f t="shared" si="44"/>
        <v>16.605</v>
      </c>
      <c r="O62" s="90">
        <f t="shared" si="45"/>
        <v>570.10500000000002</v>
      </c>
      <c r="P62" s="92"/>
    </row>
    <row r="63" spans="1:16" x14ac:dyDescent="0.25">
      <c r="A63" s="41" t="str">
        <f>IF(G63&lt;&gt;"",1+MAX($A$13:A62),"")</f>
        <v/>
      </c>
      <c r="D63" s="105"/>
      <c r="E63"/>
      <c r="I63" s="93"/>
      <c r="J63" s="94"/>
      <c r="K63" s="104"/>
      <c r="P63" s="92"/>
    </row>
    <row r="64" spans="1:16" x14ac:dyDescent="0.25">
      <c r="A64" s="41" t="str">
        <f>IF(G64&lt;&gt;"",1+MAX($A$13:A63),"")</f>
        <v/>
      </c>
      <c r="D64" s="103" t="s">
        <v>80</v>
      </c>
      <c r="E64"/>
      <c r="I64" s="93"/>
      <c r="J64" s="94"/>
      <c r="K64" s="104"/>
      <c r="P64" s="92"/>
    </row>
    <row r="65" spans="1:16" x14ac:dyDescent="0.25">
      <c r="A65" s="41">
        <f>IF(G65&lt;&gt;"",1+MAX($A$13:A64),"")</f>
        <v>23</v>
      </c>
      <c r="C65" s="89" t="s">
        <v>268</v>
      </c>
      <c r="D65" s="96" t="s">
        <v>81</v>
      </c>
      <c r="E65" s="100">
        <v>22.45</v>
      </c>
      <c r="F65" s="91">
        <f>VLOOKUP(H65,'PROJECT SUMMARY'!$C$24:$D$31,2,0)</f>
        <v>0.05</v>
      </c>
      <c r="G65" s="95">
        <f t="shared" ref="G65" si="46">E65*(1+F65)</f>
        <v>23.572500000000002</v>
      </c>
      <c r="H65" s="89" t="s">
        <v>10</v>
      </c>
      <c r="I65" s="93">
        <v>4.4999999999999998E-2</v>
      </c>
      <c r="J65" s="94">
        <f t="shared" ref="J65" si="47">I65*G65</f>
        <v>1.0607625000000001</v>
      </c>
      <c r="K65" s="90">
        <v>50</v>
      </c>
      <c r="L65" s="90">
        <f>K65*J65</f>
        <v>53.038125000000001</v>
      </c>
      <c r="M65" s="90">
        <v>5.82</v>
      </c>
      <c r="N65" s="90">
        <f>M65*G65</f>
        <v>137.19195000000002</v>
      </c>
      <c r="O65" s="90">
        <f t="shared" ref="O65" si="48">L65+N65</f>
        <v>190.23007500000003</v>
      </c>
      <c r="P65" s="92"/>
    </row>
    <row r="66" spans="1:16" x14ac:dyDescent="0.25">
      <c r="A66" s="41" t="str">
        <f>IF(G66&lt;&gt;"",1+MAX($A$13:A65),"")</f>
        <v/>
      </c>
      <c r="D66" s="105"/>
      <c r="E66"/>
      <c r="I66" s="93"/>
      <c r="J66" s="94"/>
      <c r="K66" s="104"/>
      <c r="P66" s="92"/>
    </row>
    <row r="67" spans="1:16" x14ac:dyDescent="0.25">
      <c r="A67" s="41" t="str">
        <f>IF(G67&lt;&gt;"",1+MAX($A$13:A66),"")</f>
        <v/>
      </c>
      <c r="D67" s="103" t="s">
        <v>82</v>
      </c>
      <c r="E67"/>
      <c r="I67" s="93"/>
      <c r="J67" s="94"/>
      <c r="K67" s="104"/>
      <c r="P67" s="92"/>
    </row>
    <row r="68" spans="1:16" x14ac:dyDescent="0.25">
      <c r="A68" s="41">
        <f>IF(G68&lt;&gt;"",1+MAX($A$13:A67),"")</f>
        <v>24</v>
      </c>
      <c r="C68" s="89" t="s">
        <v>268</v>
      </c>
      <c r="D68" s="96" t="s">
        <v>83</v>
      </c>
      <c r="E68" s="100">
        <v>1</v>
      </c>
      <c r="F68" s="91">
        <f>VLOOKUP(H68,'PROJECT SUMMARY'!$C$24:$D$31,2,0)</f>
        <v>0</v>
      </c>
      <c r="G68" s="95">
        <f t="shared" ref="G68:G71" si="49">E68*(1+F68)</f>
        <v>1</v>
      </c>
      <c r="H68" s="89" t="s">
        <v>9</v>
      </c>
      <c r="I68" s="93">
        <v>9.25</v>
      </c>
      <c r="J68" s="94">
        <f t="shared" ref="J68:J71" si="50">I68*G68</f>
        <v>9.25</v>
      </c>
      <c r="K68" s="90">
        <v>50</v>
      </c>
      <c r="L68" s="90">
        <f t="shared" ref="L68:L70" si="51">K68*J68</f>
        <v>462.5</v>
      </c>
      <c r="M68" s="90">
        <v>463.1</v>
      </c>
      <c r="N68" s="90">
        <f t="shared" ref="N68:N71" si="52">M68*G68</f>
        <v>463.1</v>
      </c>
      <c r="O68" s="90">
        <f t="shared" ref="O68:O71" si="53">L68+N68</f>
        <v>925.6</v>
      </c>
      <c r="P68" s="92"/>
    </row>
    <row r="69" spans="1:16" x14ac:dyDescent="0.25">
      <c r="A69" s="41">
        <f>IF(G69&lt;&gt;"",1+MAX($A$13:A68),"")</f>
        <v>25</v>
      </c>
      <c r="C69" s="89" t="s">
        <v>268</v>
      </c>
      <c r="D69" s="96" t="s">
        <v>84</v>
      </c>
      <c r="E69" s="100">
        <v>1</v>
      </c>
      <c r="F69" s="91">
        <f>VLOOKUP(H69,'PROJECT SUMMARY'!$C$24:$D$31,2,0)</f>
        <v>0</v>
      </c>
      <c r="G69" s="95">
        <f t="shared" si="49"/>
        <v>1</v>
      </c>
      <c r="H69" s="89" t="s">
        <v>9</v>
      </c>
      <c r="I69" s="93">
        <v>25</v>
      </c>
      <c r="J69" s="94">
        <f t="shared" si="50"/>
        <v>25</v>
      </c>
      <c r="K69" s="90">
        <v>50</v>
      </c>
      <c r="L69" s="90">
        <f t="shared" si="51"/>
        <v>1250</v>
      </c>
      <c r="M69" s="90">
        <v>1389.3</v>
      </c>
      <c r="N69" s="90">
        <f t="shared" si="52"/>
        <v>1389.3</v>
      </c>
      <c r="O69" s="90">
        <f t="shared" si="53"/>
        <v>2639.3</v>
      </c>
      <c r="P69" s="92"/>
    </row>
    <row r="70" spans="1:16" x14ac:dyDescent="0.25">
      <c r="A70" s="41">
        <f>IF(G70&lt;&gt;"",1+MAX($A$13:A69),"")</f>
        <v>26</v>
      </c>
      <c r="C70" s="89" t="s">
        <v>268</v>
      </c>
      <c r="D70" s="96" t="s">
        <v>85</v>
      </c>
      <c r="E70" s="100">
        <v>1</v>
      </c>
      <c r="F70" s="91">
        <f>VLOOKUP(H70,'PROJECT SUMMARY'!$C$24:$D$31,2,0)</f>
        <v>0</v>
      </c>
      <c r="G70" s="95">
        <f t="shared" si="49"/>
        <v>1</v>
      </c>
      <c r="H70" s="89" t="s">
        <v>9</v>
      </c>
      <c r="I70" s="93">
        <v>11</v>
      </c>
      <c r="J70" s="94">
        <f t="shared" si="50"/>
        <v>11</v>
      </c>
      <c r="K70" s="90">
        <v>50</v>
      </c>
      <c r="L70" s="90">
        <f t="shared" si="51"/>
        <v>550</v>
      </c>
      <c r="M70" s="90">
        <v>547.30000000000007</v>
      </c>
      <c r="N70" s="90">
        <f t="shared" si="52"/>
        <v>547.30000000000007</v>
      </c>
      <c r="O70" s="90">
        <f t="shared" si="53"/>
        <v>1097.3000000000002</v>
      </c>
      <c r="P70" s="92"/>
    </row>
    <row r="71" spans="1:16" x14ac:dyDescent="0.25">
      <c r="A71" s="41">
        <f>IF(G71&lt;&gt;"",1+MAX($A$13:A70),"")</f>
        <v>27</v>
      </c>
      <c r="C71" s="89" t="s">
        <v>268</v>
      </c>
      <c r="D71" s="96" t="s">
        <v>86</v>
      </c>
      <c r="E71" s="100">
        <v>194.34</v>
      </c>
      <c r="F71" s="91">
        <f>VLOOKUP(H71,'PROJECT SUMMARY'!$C$24:$D$31,2,0)</f>
        <v>0.05</v>
      </c>
      <c r="G71" s="95">
        <f t="shared" si="49"/>
        <v>204.05700000000002</v>
      </c>
      <c r="H71" s="89" t="s">
        <v>10</v>
      </c>
      <c r="I71" s="93">
        <v>4.4999999999999998E-2</v>
      </c>
      <c r="J71" s="94">
        <f t="shared" si="50"/>
        <v>9.1825650000000003</v>
      </c>
      <c r="K71" s="90">
        <v>50</v>
      </c>
      <c r="L71" s="90">
        <f>K71*J71</f>
        <v>459.12825000000004</v>
      </c>
      <c r="M71" s="90">
        <v>5.82</v>
      </c>
      <c r="N71" s="90">
        <f t="shared" si="52"/>
        <v>1187.6117400000001</v>
      </c>
      <c r="O71" s="90">
        <f t="shared" si="53"/>
        <v>1646.73999</v>
      </c>
      <c r="P71" s="92"/>
    </row>
    <row r="72" spans="1:16" ht="16.5" thickBot="1" x14ac:dyDescent="0.3">
      <c r="A72" s="41" t="str">
        <f>IF(G72&lt;&gt;"",1+MAX($A$13:A71),"")</f>
        <v/>
      </c>
      <c r="D72" s="105"/>
      <c r="E72"/>
      <c r="I72" s="93"/>
      <c r="J72" s="94"/>
      <c r="K72" s="104"/>
      <c r="P72" s="92"/>
    </row>
    <row r="73" spans="1:16" ht="16.5" thickBot="1" x14ac:dyDescent="0.3">
      <c r="A73" s="73" t="str">
        <f>IF(G73&lt;&gt;"",1+MAX($A$13:A72),"")</f>
        <v/>
      </c>
      <c r="B73" s="69"/>
      <c r="C73" s="69" t="s">
        <v>271</v>
      </c>
      <c r="D73" s="67" t="s">
        <v>270</v>
      </c>
      <c r="E73" s="71"/>
      <c r="F73" s="72"/>
      <c r="G73" s="71"/>
      <c r="H73" s="71"/>
      <c r="I73" s="67"/>
      <c r="J73" s="67"/>
      <c r="K73" s="68"/>
      <c r="L73" s="68"/>
      <c r="M73" s="68"/>
      <c r="N73" s="68"/>
      <c r="O73" s="70"/>
      <c r="P73" s="74">
        <f>SUM(O74:O96)</f>
        <v>49691.973848999995</v>
      </c>
    </row>
    <row r="74" spans="1:16" x14ac:dyDescent="0.25">
      <c r="A74" s="41" t="str">
        <f>IF(G74&lt;&gt;"",1+MAX($A$13:A73),"")</f>
        <v/>
      </c>
      <c r="D74"/>
      <c r="E74"/>
      <c r="I74" s="93"/>
      <c r="J74" s="94"/>
      <c r="K74" s="104"/>
      <c r="P74" s="92"/>
    </row>
    <row r="75" spans="1:16" x14ac:dyDescent="0.25">
      <c r="A75" s="41" t="str">
        <f>IF(G75&lt;&gt;"",1+MAX($A$13:A74),"")</f>
        <v/>
      </c>
      <c r="D75" s="103" t="s">
        <v>87</v>
      </c>
      <c r="E75"/>
      <c r="I75" s="93"/>
      <c r="J75" s="94"/>
      <c r="K75" s="104"/>
      <c r="P75" s="92"/>
    </row>
    <row r="76" spans="1:16" x14ac:dyDescent="0.25">
      <c r="A76" s="41">
        <f>IF(G76&lt;&gt;"",1+MAX($A$13:A75),"")</f>
        <v>28</v>
      </c>
      <c r="C76" s="89" t="s">
        <v>271</v>
      </c>
      <c r="D76" s="96" t="s">
        <v>88</v>
      </c>
      <c r="E76" s="100">
        <v>3399.59</v>
      </c>
      <c r="F76" s="91">
        <f>VLOOKUP(H76,'PROJECT SUMMARY'!$C$24:$D$31,2,0)</f>
        <v>0.05</v>
      </c>
      <c r="G76" s="95">
        <f t="shared" ref="G76:G83" si="54">E76*(1+F76)</f>
        <v>3569.5695000000005</v>
      </c>
      <c r="H76" s="89" t="s">
        <v>11</v>
      </c>
      <c r="I76" s="93">
        <v>1.7999999999999999E-2</v>
      </c>
      <c r="J76" s="94">
        <f t="shared" ref="J76:J83" si="55">I76*G76</f>
        <v>64.252251000000001</v>
      </c>
      <c r="K76" s="90">
        <v>52</v>
      </c>
      <c r="L76" s="90">
        <f t="shared" ref="L76:L83" si="56">K76*J76</f>
        <v>3341.1170520000001</v>
      </c>
      <c r="M76" s="90">
        <v>1.92</v>
      </c>
      <c r="N76" s="90">
        <f t="shared" ref="N76:N83" si="57">M76*G76</f>
        <v>6853.573440000001</v>
      </c>
      <c r="O76" s="90">
        <f t="shared" ref="O76:O83" si="58">L76+N76</f>
        <v>10194.690492000002</v>
      </c>
      <c r="P76" s="92"/>
    </row>
    <row r="77" spans="1:16" x14ac:dyDescent="0.25">
      <c r="A77" s="41">
        <f>IF(G77&lt;&gt;"",1+MAX($A$13:A76),"")</f>
        <v>29</v>
      </c>
      <c r="C77" s="89" t="s">
        <v>271</v>
      </c>
      <c r="D77" s="96" t="s">
        <v>89</v>
      </c>
      <c r="E77" s="100">
        <v>3399.59</v>
      </c>
      <c r="F77" s="91">
        <f>VLOOKUP(H77,'PROJECT SUMMARY'!$C$24:$D$31,2,0)</f>
        <v>0.05</v>
      </c>
      <c r="G77" s="95">
        <f t="shared" si="54"/>
        <v>3569.5695000000005</v>
      </c>
      <c r="H77" s="89" t="s">
        <v>11</v>
      </c>
      <c r="I77" s="93">
        <v>3.0000000000000001E-3</v>
      </c>
      <c r="J77" s="94">
        <f t="shared" si="55"/>
        <v>10.708708500000002</v>
      </c>
      <c r="K77" s="90">
        <v>52</v>
      </c>
      <c r="L77" s="90">
        <f t="shared" si="56"/>
        <v>556.85284200000012</v>
      </c>
      <c r="M77" s="90">
        <v>0.2</v>
      </c>
      <c r="N77" s="90">
        <f t="shared" si="57"/>
        <v>713.91390000000013</v>
      </c>
      <c r="O77" s="90">
        <f t="shared" si="58"/>
        <v>1270.7667420000002</v>
      </c>
      <c r="P77" s="92"/>
    </row>
    <row r="78" spans="1:16" x14ac:dyDescent="0.25">
      <c r="A78" s="41">
        <f>IF(G78&lt;&gt;"",1+MAX($A$13:A77),"")</f>
        <v>30</v>
      </c>
      <c r="C78" s="89" t="s">
        <v>271</v>
      </c>
      <c r="D78" s="96" t="s">
        <v>90</v>
      </c>
      <c r="E78" s="100">
        <f t="shared" ref="E78:E81" si="59">3399.92-366</f>
        <v>3033.92</v>
      </c>
      <c r="F78" s="91">
        <f>VLOOKUP(H78,'PROJECT SUMMARY'!$C$24:$D$31,2,0)</f>
        <v>0.05</v>
      </c>
      <c r="G78" s="95">
        <f t="shared" si="54"/>
        <v>3185.616</v>
      </c>
      <c r="H78" s="89" t="s">
        <v>11</v>
      </c>
      <c r="I78" s="93">
        <v>2.5000000000000001E-2</v>
      </c>
      <c r="J78" s="94">
        <f t="shared" si="55"/>
        <v>79.6404</v>
      </c>
      <c r="K78" s="90">
        <v>52</v>
      </c>
      <c r="L78" s="90">
        <f t="shared" si="56"/>
        <v>4141.3008</v>
      </c>
      <c r="M78" s="90">
        <v>4.21</v>
      </c>
      <c r="N78" s="90">
        <f t="shared" si="57"/>
        <v>13411.443359999999</v>
      </c>
      <c r="O78" s="90">
        <f t="shared" si="58"/>
        <v>17552.744159999998</v>
      </c>
      <c r="P78" s="92"/>
    </row>
    <row r="79" spans="1:16" x14ac:dyDescent="0.25">
      <c r="A79" s="41">
        <f>IF(G79&lt;&gt;"",1+MAX($A$13:A78),"")</f>
        <v>31</v>
      </c>
      <c r="C79" s="89" t="s">
        <v>271</v>
      </c>
      <c r="D79" s="96" t="s">
        <v>91</v>
      </c>
      <c r="E79" s="100">
        <v>638.04</v>
      </c>
      <c r="F79" s="91">
        <f>VLOOKUP(H79,'PROJECT SUMMARY'!$C$24:$D$31,2,0)</f>
        <v>0.05</v>
      </c>
      <c r="G79" s="95">
        <f t="shared" si="54"/>
        <v>669.94200000000001</v>
      </c>
      <c r="H79" s="89" t="s">
        <v>11</v>
      </c>
      <c r="I79" s="93">
        <v>2.5000000000000001E-2</v>
      </c>
      <c r="J79" s="94">
        <f t="shared" si="55"/>
        <v>16.748550000000002</v>
      </c>
      <c r="K79" s="90">
        <v>52</v>
      </c>
      <c r="L79" s="90">
        <f t="shared" si="56"/>
        <v>870.92460000000005</v>
      </c>
      <c r="M79" s="90">
        <v>3.8</v>
      </c>
      <c r="N79" s="90">
        <f t="shared" si="57"/>
        <v>2545.7795999999998</v>
      </c>
      <c r="O79" s="90">
        <f t="shared" si="58"/>
        <v>3416.7042000000001</v>
      </c>
      <c r="P79" s="92"/>
    </row>
    <row r="80" spans="1:16" x14ac:dyDescent="0.25">
      <c r="A80" s="41">
        <f>IF(G80&lt;&gt;"",1+MAX($A$13:A79),"")</f>
        <v>32</v>
      </c>
      <c r="C80" s="89" t="s">
        <v>271</v>
      </c>
      <c r="D80" s="96" t="s">
        <v>92</v>
      </c>
      <c r="E80" s="100">
        <v>638.04</v>
      </c>
      <c r="F80" s="91">
        <f>VLOOKUP(H80,'PROJECT SUMMARY'!$C$24:$D$31,2,0)</f>
        <v>0.05</v>
      </c>
      <c r="G80" s="95">
        <f t="shared" si="54"/>
        <v>669.94200000000001</v>
      </c>
      <c r="H80" s="89" t="s">
        <v>11</v>
      </c>
      <c r="I80" s="93">
        <v>6.0000000000000001E-3</v>
      </c>
      <c r="J80" s="94">
        <f t="shared" si="55"/>
        <v>4.0196519999999998</v>
      </c>
      <c r="K80" s="90">
        <v>52</v>
      </c>
      <c r="L80" s="90">
        <f t="shared" si="56"/>
        <v>209.02190399999998</v>
      </c>
      <c r="M80" s="90">
        <v>0.38</v>
      </c>
      <c r="N80" s="90">
        <f t="shared" si="57"/>
        <v>254.57796000000002</v>
      </c>
      <c r="O80" s="90">
        <f t="shared" si="58"/>
        <v>463.59986400000003</v>
      </c>
      <c r="P80" s="92"/>
    </row>
    <row r="81" spans="1:16" x14ac:dyDescent="0.25">
      <c r="A81" s="41">
        <f>IF(G81&lt;&gt;"",1+MAX($A$13:A80),"")</f>
        <v>33</v>
      </c>
      <c r="C81" s="89" t="s">
        <v>271</v>
      </c>
      <c r="D81" s="96" t="s">
        <v>93</v>
      </c>
      <c r="E81" s="100">
        <f t="shared" si="59"/>
        <v>3033.92</v>
      </c>
      <c r="F81" s="91">
        <f>VLOOKUP(H81,'PROJECT SUMMARY'!$C$24:$D$31,2,0)</f>
        <v>0.05</v>
      </c>
      <c r="G81" s="95">
        <f t="shared" si="54"/>
        <v>3185.616</v>
      </c>
      <c r="H81" s="89" t="s">
        <v>11</v>
      </c>
      <c r="I81" s="93">
        <v>6.0000000000000001E-3</v>
      </c>
      <c r="J81" s="94">
        <f t="shared" si="55"/>
        <v>19.113696000000001</v>
      </c>
      <c r="K81" s="90">
        <v>52</v>
      </c>
      <c r="L81" s="90">
        <f t="shared" si="56"/>
        <v>993.912192</v>
      </c>
      <c r="M81" s="90">
        <v>0.38</v>
      </c>
      <c r="N81" s="90">
        <f t="shared" si="57"/>
        <v>1210.5340799999999</v>
      </c>
      <c r="O81" s="90">
        <f t="shared" si="58"/>
        <v>2204.4462720000001</v>
      </c>
      <c r="P81" s="92"/>
    </row>
    <row r="82" spans="1:16" x14ac:dyDescent="0.25">
      <c r="A82" s="41">
        <f>IF(G82&lt;&gt;"",1+MAX($A$13:A81),"")</f>
        <v>34</v>
      </c>
      <c r="C82" s="89" t="s">
        <v>271</v>
      </c>
      <c r="D82" s="96" t="s">
        <v>94</v>
      </c>
      <c r="E82" s="100">
        <v>3399.59</v>
      </c>
      <c r="F82" s="91">
        <f>VLOOKUP(H82,'PROJECT SUMMARY'!$C$24:$D$31,2,0)</f>
        <v>0.05</v>
      </c>
      <c r="G82" s="95">
        <f t="shared" si="54"/>
        <v>3569.5695000000005</v>
      </c>
      <c r="H82" s="89" t="s">
        <v>11</v>
      </c>
      <c r="I82" s="93">
        <v>8.0000000000000002E-3</v>
      </c>
      <c r="J82" s="94">
        <f t="shared" si="55"/>
        <v>28.556556000000004</v>
      </c>
      <c r="K82" s="90">
        <v>52</v>
      </c>
      <c r="L82" s="90">
        <f t="shared" si="56"/>
        <v>1484.9409120000003</v>
      </c>
      <c r="M82" s="90">
        <v>0.54</v>
      </c>
      <c r="N82" s="90">
        <f t="shared" si="57"/>
        <v>1927.5675300000005</v>
      </c>
      <c r="O82" s="90">
        <f t="shared" si="58"/>
        <v>3412.5084420000007</v>
      </c>
      <c r="P82" s="92"/>
    </row>
    <row r="83" spans="1:16" x14ac:dyDescent="0.25">
      <c r="A83" s="41">
        <f>IF(G83&lt;&gt;"",1+MAX($A$13:A82),"")</f>
        <v>35</v>
      </c>
      <c r="C83" s="89" t="s">
        <v>271</v>
      </c>
      <c r="D83" s="96" t="s">
        <v>95</v>
      </c>
      <c r="E83" s="100">
        <v>3399.59</v>
      </c>
      <c r="F83" s="91">
        <f>VLOOKUP(H83,'PROJECT SUMMARY'!$C$24:$D$31,2,0)</f>
        <v>0.05</v>
      </c>
      <c r="G83" s="95">
        <f t="shared" si="54"/>
        <v>3569.5695000000005</v>
      </c>
      <c r="H83" s="89" t="s">
        <v>11</v>
      </c>
      <c r="I83" s="93">
        <v>8.0000000000000002E-3</v>
      </c>
      <c r="J83" s="94">
        <f t="shared" si="55"/>
        <v>28.556556000000004</v>
      </c>
      <c r="K83" s="90">
        <v>52</v>
      </c>
      <c r="L83" s="90">
        <f t="shared" si="56"/>
        <v>1484.9409120000003</v>
      </c>
      <c r="M83" s="90">
        <v>0.54</v>
      </c>
      <c r="N83" s="90">
        <f t="shared" si="57"/>
        <v>1927.5675300000005</v>
      </c>
      <c r="O83" s="90">
        <f t="shared" si="58"/>
        <v>3412.5084420000007</v>
      </c>
      <c r="P83" s="92"/>
    </row>
    <row r="84" spans="1:16" x14ac:dyDescent="0.25">
      <c r="A84" s="41" t="str">
        <f>IF(G84&lt;&gt;"",1+MAX($A$13:A83),"")</f>
        <v/>
      </c>
      <c r="D84" s="105"/>
      <c r="E84"/>
      <c r="I84" s="93"/>
      <c r="J84" s="94"/>
      <c r="K84" s="104"/>
      <c r="P84" s="92"/>
    </row>
    <row r="85" spans="1:16" x14ac:dyDescent="0.25">
      <c r="A85" s="41" t="str">
        <f>IF(G85&lt;&gt;"",1+MAX($A$13:A84),"")</f>
        <v/>
      </c>
      <c r="D85" s="103" t="s">
        <v>96</v>
      </c>
      <c r="E85"/>
      <c r="I85" s="93"/>
      <c r="J85" s="94"/>
      <c r="K85" s="104"/>
      <c r="P85" s="92"/>
    </row>
    <row r="86" spans="1:16" x14ac:dyDescent="0.25">
      <c r="A86" s="41">
        <f>IF(G86&lt;&gt;"",1+MAX($A$13:A85),"")</f>
        <v>36</v>
      </c>
      <c r="C86" s="89" t="s">
        <v>271</v>
      </c>
      <c r="D86" s="96" t="s">
        <v>97</v>
      </c>
      <c r="E86" s="100">
        <v>109.41</v>
      </c>
      <c r="F86" s="91">
        <f>VLOOKUP(H86,'PROJECT SUMMARY'!$C$24:$D$31,2,0)</f>
        <v>0.05</v>
      </c>
      <c r="G86" s="95">
        <f t="shared" ref="G86:G91" si="60">E86*(1+F86)</f>
        <v>114.8805</v>
      </c>
      <c r="H86" s="89" t="s">
        <v>10</v>
      </c>
      <c r="I86" s="93">
        <v>2.8000000000000001E-2</v>
      </c>
      <c r="J86" s="94">
        <f t="shared" ref="J86:J91" si="61">I86*G86</f>
        <v>3.2166540000000001</v>
      </c>
      <c r="K86" s="90">
        <v>52</v>
      </c>
      <c r="L86" s="90">
        <f t="shared" ref="L86:L91" si="62">K86*J86</f>
        <v>167.266008</v>
      </c>
      <c r="M86" s="90">
        <v>1.65</v>
      </c>
      <c r="N86" s="90">
        <f t="shared" ref="N86:N91" si="63">M86*G86</f>
        <v>189.55282499999998</v>
      </c>
      <c r="O86" s="90">
        <f t="shared" ref="O86:O91" si="64">L86+N86</f>
        <v>356.81883299999998</v>
      </c>
      <c r="P86" s="92"/>
    </row>
    <row r="87" spans="1:16" x14ac:dyDescent="0.25">
      <c r="A87" s="41">
        <f>IF(G87&lt;&gt;"",1+MAX($A$13:A86),"")</f>
        <v>37</v>
      </c>
      <c r="C87" s="89" t="s">
        <v>271</v>
      </c>
      <c r="D87" s="96" t="s">
        <v>98</v>
      </c>
      <c r="E87" s="100">
        <v>76.38</v>
      </c>
      <c r="F87" s="91">
        <f>VLOOKUP(H87,'PROJECT SUMMARY'!$C$24:$D$31,2,0)</f>
        <v>0.05</v>
      </c>
      <c r="G87" s="95">
        <f t="shared" si="60"/>
        <v>80.198999999999998</v>
      </c>
      <c r="H87" s="89" t="s">
        <v>10</v>
      </c>
      <c r="I87" s="93">
        <v>0.03</v>
      </c>
      <c r="J87" s="94">
        <f t="shared" si="61"/>
        <v>2.4059699999999999</v>
      </c>
      <c r="K87" s="90">
        <v>52</v>
      </c>
      <c r="L87" s="90">
        <f t="shared" si="62"/>
        <v>125.11044</v>
      </c>
      <c r="M87" s="90">
        <v>2.1800000000000002</v>
      </c>
      <c r="N87" s="90">
        <f t="shared" si="63"/>
        <v>174.83382</v>
      </c>
      <c r="O87" s="90">
        <f t="shared" si="64"/>
        <v>299.94425999999999</v>
      </c>
      <c r="P87" s="92"/>
    </row>
    <row r="88" spans="1:16" x14ac:dyDescent="0.25">
      <c r="A88" s="41">
        <f>IF(G88&lt;&gt;"",1+MAX($A$13:A87),"")</f>
        <v>38</v>
      </c>
      <c r="C88" s="89" t="s">
        <v>271</v>
      </c>
      <c r="D88" s="96" t="s">
        <v>99</v>
      </c>
      <c r="E88" s="100">
        <v>286.43</v>
      </c>
      <c r="F88" s="91">
        <f>VLOOKUP(H88,'PROJECT SUMMARY'!$C$24:$D$31,2,0)</f>
        <v>0.05</v>
      </c>
      <c r="G88" s="95">
        <f t="shared" si="60"/>
        <v>300.75150000000002</v>
      </c>
      <c r="H88" s="89" t="s">
        <v>10</v>
      </c>
      <c r="I88" s="93">
        <v>2.7E-2</v>
      </c>
      <c r="J88" s="94">
        <f t="shared" si="61"/>
        <v>8.1202905000000012</v>
      </c>
      <c r="K88" s="90">
        <v>52</v>
      </c>
      <c r="L88" s="90">
        <f t="shared" si="62"/>
        <v>422.25510600000007</v>
      </c>
      <c r="M88" s="90">
        <v>0.33</v>
      </c>
      <c r="N88" s="90">
        <f t="shared" si="63"/>
        <v>99.247995000000017</v>
      </c>
      <c r="O88" s="90">
        <f t="shared" si="64"/>
        <v>521.50310100000013</v>
      </c>
      <c r="P88" s="92"/>
    </row>
    <row r="89" spans="1:16" x14ac:dyDescent="0.25">
      <c r="A89" s="41">
        <f>IF(G89&lt;&gt;"",1+MAX($A$13:A88),"")</f>
        <v>39</v>
      </c>
      <c r="C89" s="89" t="s">
        <v>271</v>
      </c>
      <c r="D89" s="96" t="s">
        <v>100</v>
      </c>
      <c r="E89" s="100">
        <v>286.43</v>
      </c>
      <c r="F89" s="91">
        <f>VLOOKUP(H89,'PROJECT SUMMARY'!$C$24:$D$31,2,0)</f>
        <v>0.05</v>
      </c>
      <c r="G89" s="95">
        <f t="shared" si="60"/>
        <v>300.75150000000002</v>
      </c>
      <c r="H89" s="89" t="s">
        <v>10</v>
      </c>
      <c r="I89" s="93">
        <v>3.2000000000000001E-2</v>
      </c>
      <c r="J89" s="94">
        <f t="shared" si="61"/>
        <v>9.6240480000000002</v>
      </c>
      <c r="K89" s="90">
        <v>52</v>
      </c>
      <c r="L89" s="90">
        <f t="shared" si="62"/>
        <v>500.45049599999999</v>
      </c>
      <c r="M89" s="90">
        <v>2.65</v>
      </c>
      <c r="N89" s="90">
        <f t="shared" si="63"/>
        <v>796.99147500000004</v>
      </c>
      <c r="O89" s="90">
        <f t="shared" si="64"/>
        <v>1297.441971</v>
      </c>
      <c r="P89" s="92"/>
    </row>
    <row r="90" spans="1:16" x14ac:dyDescent="0.25">
      <c r="A90" s="41">
        <f>IF(G90&lt;&gt;"",1+MAX($A$13:A89),"")</f>
        <v>40</v>
      </c>
      <c r="C90" s="89" t="s">
        <v>271</v>
      </c>
      <c r="D90" s="96" t="s">
        <v>101</v>
      </c>
      <c r="E90" s="100">
        <v>286.43</v>
      </c>
      <c r="F90" s="91">
        <f>VLOOKUP(H90,'PROJECT SUMMARY'!$C$24:$D$31,2,0)</f>
        <v>0.05</v>
      </c>
      <c r="G90" s="95">
        <f t="shared" si="60"/>
        <v>300.75150000000002</v>
      </c>
      <c r="H90" s="89" t="s">
        <v>10</v>
      </c>
      <c r="I90" s="93">
        <v>0.03</v>
      </c>
      <c r="J90" s="94">
        <f t="shared" si="61"/>
        <v>9.0225450000000009</v>
      </c>
      <c r="K90" s="90">
        <v>52</v>
      </c>
      <c r="L90" s="90">
        <f t="shared" si="62"/>
        <v>469.17234000000008</v>
      </c>
      <c r="M90" s="90">
        <v>1.88</v>
      </c>
      <c r="N90" s="90">
        <f t="shared" si="63"/>
        <v>565.41282000000001</v>
      </c>
      <c r="O90" s="90">
        <f t="shared" si="64"/>
        <v>1034.5851600000001</v>
      </c>
      <c r="P90" s="92"/>
    </row>
    <row r="91" spans="1:16" x14ac:dyDescent="0.25">
      <c r="A91" s="41">
        <f>IF(G91&lt;&gt;"",1+MAX($A$13:A90),"")</f>
        <v>41</v>
      </c>
      <c r="C91" s="89" t="s">
        <v>271</v>
      </c>
      <c r="D91" s="96" t="s">
        <v>102</v>
      </c>
      <c r="E91" s="100">
        <v>286.43</v>
      </c>
      <c r="F91" s="91">
        <f>VLOOKUP(H91,'PROJECT SUMMARY'!$C$24:$D$31,2,0)</f>
        <v>0.05</v>
      </c>
      <c r="G91" s="95">
        <f t="shared" si="60"/>
        <v>300.75150000000002</v>
      </c>
      <c r="H91" s="89" t="s">
        <v>10</v>
      </c>
      <c r="I91" s="93">
        <v>3.5000000000000003E-2</v>
      </c>
      <c r="J91" s="94">
        <f t="shared" si="61"/>
        <v>10.526302500000002</v>
      </c>
      <c r="K91" s="90">
        <v>52</v>
      </c>
      <c r="L91" s="90">
        <f t="shared" si="62"/>
        <v>547.36773000000005</v>
      </c>
      <c r="M91" s="90">
        <v>2.92</v>
      </c>
      <c r="N91" s="90">
        <f t="shared" si="63"/>
        <v>878.19438000000002</v>
      </c>
      <c r="O91" s="90">
        <f t="shared" si="64"/>
        <v>1425.5621100000001</v>
      </c>
      <c r="P91" s="92"/>
    </row>
    <row r="92" spans="1:16" x14ac:dyDescent="0.25">
      <c r="A92" s="41" t="str">
        <f>IF(G92&lt;&gt;"",1+MAX($A$13:A91),"")</f>
        <v/>
      </c>
      <c r="D92" s="105"/>
      <c r="E92"/>
      <c r="I92" s="93"/>
      <c r="J92" s="94"/>
      <c r="K92" s="104"/>
      <c r="P92" s="92"/>
    </row>
    <row r="93" spans="1:16" x14ac:dyDescent="0.25">
      <c r="A93" s="41" t="str">
        <f>IF(G93&lt;&gt;"",1+MAX($A$13:A92),"")</f>
        <v/>
      </c>
      <c r="D93" s="103" t="s">
        <v>103</v>
      </c>
      <c r="E93" s="100"/>
      <c r="I93" s="93"/>
      <c r="J93" s="94"/>
      <c r="P93" s="92"/>
    </row>
    <row r="94" spans="1:16" x14ac:dyDescent="0.25">
      <c r="A94" s="41">
        <f>IF(G94&lt;&gt;"",1+MAX($A$13:A93),"")</f>
        <v>42</v>
      </c>
      <c r="C94" s="89" t="s">
        <v>271</v>
      </c>
      <c r="D94" s="96" t="s">
        <v>104</v>
      </c>
      <c r="E94" s="100">
        <v>110.65</v>
      </c>
      <c r="F94" s="91">
        <f>VLOOKUP(H94,'PROJECT SUMMARY'!$C$24:$D$31,2,0)</f>
        <v>0.05</v>
      </c>
      <c r="G94" s="95">
        <f t="shared" ref="G94:G95" si="65">E94*(1+F94)</f>
        <v>116.1825</v>
      </c>
      <c r="H94" s="89" t="s">
        <v>10</v>
      </c>
      <c r="I94" s="93">
        <v>5.5E-2</v>
      </c>
      <c r="J94" s="94">
        <f t="shared" ref="J94:J95" si="66">I94*G94</f>
        <v>6.3900375</v>
      </c>
      <c r="K94" s="90">
        <v>52</v>
      </c>
      <c r="L94" s="90">
        <f t="shared" ref="L94:L95" si="67">K94*J94</f>
        <v>332.28194999999999</v>
      </c>
      <c r="M94" s="90">
        <v>6.18</v>
      </c>
      <c r="N94" s="90">
        <f t="shared" ref="N94:N95" si="68">M94*G94</f>
        <v>718.00784999999996</v>
      </c>
      <c r="O94" s="90">
        <f t="shared" ref="O94:O95" si="69">L94+N94</f>
        <v>1050.2898</v>
      </c>
      <c r="P94" s="92"/>
    </row>
    <row r="95" spans="1:16" x14ac:dyDescent="0.25">
      <c r="A95" s="41">
        <f>IF(G95&lt;&gt;"",1+MAX($A$13:A94),"")</f>
        <v>43</v>
      </c>
      <c r="C95" s="89" t="s">
        <v>271</v>
      </c>
      <c r="D95" s="96" t="s">
        <v>105</v>
      </c>
      <c r="E95" s="100">
        <f>80+120</f>
        <v>200</v>
      </c>
      <c r="F95" s="91">
        <f>VLOOKUP(H95,'PROJECT SUMMARY'!$C$24:$D$31,2,0)</f>
        <v>0.05</v>
      </c>
      <c r="G95" s="95">
        <f t="shared" si="65"/>
        <v>210</v>
      </c>
      <c r="H95" s="89" t="s">
        <v>10</v>
      </c>
      <c r="I95" s="93">
        <v>5.8000000000000003E-2</v>
      </c>
      <c r="J95" s="94">
        <f t="shared" si="66"/>
        <v>12.180000000000001</v>
      </c>
      <c r="K95" s="90">
        <v>52</v>
      </c>
      <c r="L95" s="90">
        <f t="shared" si="67"/>
        <v>633.36000000000013</v>
      </c>
      <c r="M95" s="90">
        <v>5.45</v>
      </c>
      <c r="N95" s="90">
        <f t="shared" si="68"/>
        <v>1144.5</v>
      </c>
      <c r="O95" s="90">
        <f t="shared" si="69"/>
        <v>1777.8600000000001</v>
      </c>
      <c r="P95" s="92"/>
    </row>
    <row r="96" spans="1:16" ht="16.5" thickBot="1" x14ac:dyDescent="0.3">
      <c r="A96" s="41" t="str">
        <f>IF(G96&lt;&gt;"",1+MAX($A$13:A95),"")</f>
        <v/>
      </c>
      <c r="D96" s="105"/>
      <c r="E96"/>
      <c r="I96" s="93"/>
      <c r="J96" s="94"/>
      <c r="K96" s="104"/>
      <c r="P96" s="92"/>
    </row>
    <row r="97" spans="1:16" ht="16.5" thickBot="1" x14ac:dyDescent="0.3">
      <c r="A97" s="73" t="str">
        <f>IF(G97&lt;&gt;"",1+MAX($A$13:A96),"")</f>
        <v/>
      </c>
      <c r="B97" s="69"/>
      <c r="C97" s="69" t="s">
        <v>273</v>
      </c>
      <c r="D97" s="67" t="s">
        <v>272</v>
      </c>
      <c r="E97" s="71"/>
      <c r="F97" s="72"/>
      <c r="G97" s="71"/>
      <c r="H97" s="71"/>
      <c r="I97" s="67"/>
      <c r="J97" s="67"/>
      <c r="K97" s="68"/>
      <c r="L97" s="68"/>
      <c r="M97" s="68"/>
      <c r="N97" s="68"/>
      <c r="O97" s="70"/>
      <c r="P97" s="74">
        <f>SUM(O98:O140)</f>
        <v>85736.620472843148</v>
      </c>
    </row>
    <row r="98" spans="1:16" x14ac:dyDescent="0.25">
      <c r="A98" s="41" t="str">
        <f>IF(G98&lt;&gt;"",1+MAX($A$13:A97),"")</f>
        <v/>
      </c>
      <c r="D98"/>
      <c r="E98"/>
      <c r="I98" s="93"/>
      <c r="J98" s="94"/>
      <c r="K98" s="104"/>
      <c r="P98" s="92"/>
    </row>
    <row r="99" spans="1:16" x14ac:dyDescent="0.25">
      <c r="A99" s="41" t="str">
        <f>IF(G99&lt;&gt;"",1+MAX($A$13:A98),"")</f>
        <v/>
      </c>
      <c r="D99" s="103" t="s">
        <v>106</v>
      </c>
      <c r="E99"/>
      <c r="I99" s="93"/>
      <c r="J99" s="94"/>
      <c r="K99" s="104"/>
      <c r="P99" s="92"/>
    </row>
    <row r="100" spans="1:16" x14ac:dyDescent="0.25">
      <c r="A100" s="41">
        <f>IF(G100&lt;&gt;"",1+MAX($A$13:A99),"")</f>
        <v>44</v>
      </c>
      <c r="C100" s="89" t="s">
        <v>273</v>
      </c>
      <c r="D100" s="96" t="s">
        <v>107</v>
      </c>
      <c r="E100" s="100">
        <v>1</v>
      </c>
      <c r="F100" s="91">
        <f>VLOOKUP(H100,'PROJECT SUMMARY'!$C$24:$D$31,2,0)</f>
        <v>0</v>
      </c>
      <c r="G100" s="95">
        <f t="shared" ref="G100:G116" si="70">E100*(1+F100)</f>
        <v>1</v>
      </c>
      <c r="H100" s="89" t="s">
        <v>9</v>
      </c>
      <c r="I100" s="93">
        <v>9.5760000000000005</v>
      </c>
      <c r="J100" s="94">
        <f t="shared" ref="J100:J116" si="71">I100*G100</f>
        <v>9.5760000000000005</v>
      </c>
      <c r="K100" s="90">
        <v>50</v>
      </c>
      <c r="L100" s="90">
        <f t="shared" ref="L100:L116" si="72">K100*J100</f>
        <v>478.8</v>
      </c>
      <c r="M100" s="90">
        <v>1596</v>
      </c>
      <c r="N100" s="90">
        <f t="shared" ref="N100:N116" si="73">M100*G100</f>
        <v>1596</v>
      </c>
      <c r="O100" s="90">
        <f t="shared" ref="O100:O116" si="74">L100+N100</f>
        <v>2074.8000000000002</v>
      </c>
      <c r="P100" s="92"/>
    </row>
    <row r="101" spans="1:16" x14ac:dyDescent="0.25">
      <c r="A101" s="41">
        <f>IF(G101&lt;&gt;"",1+MAX($A$13:A100),"")</f>
        <v>45</v>
      </c>
      <c r="C101" s="89" t="s">
        <v>273</v>
      </c>
      <c r="D101" s="96" t="s">
        <v>108</v>
      </c>
      <c r="E101" s="100">
        <v>2</v>
      </c>
      <c r="F101" s="91">
        <f>VLOOKUP(H101,'PROJECT SUMMARY'!$C$24:$D$31,2,0)</f>
        <v>0</v>
      </c>
      <c r="G101" s="95">
        <f t="shared" si="70"/>
        <v>2</v>
      </c>
      <c r="H101" s="89" t="s">
        <v>9</v>
      </c>
      <c r="I101" s="93">
        <v>10.944000000000001</v>
      </c>
      <c r="J101" s="94">
        <f t="shared" si="71"/>
        <v>21.888000000000002</v>
      </c>
      <c r="K101" s="90">
        <v>50</v>
      </c>
      <c r="L101" s="90">
        <f t="shared" si="72"/>
        <v>1094.4000000000001</v>
      </c>
      <c r="M101" s="90">
        <v>1824</v>
      </c>
      <c r="N101" s="90">
        <f t="shared" si="73"/>
        <v>3648</v>
      </c>
      <c r="O101" s="90">
        <f t="shared" si="74"/>
        <v>4742.3999999999996</v>
      </c>
      <c r="P101" s="92"/>
    </row>
    <row r="102" spans="1:16" x14ac:dyDescent="0.25">
      <c r="A102" s="41">
        <f>IF(G102&lt;&gt;"",1+MAX($A$13:A101),"")</f>
        <v>46</v>
      </c>
      <c r="C102" s="89" t="s">
        <v>273</v>
      </c>
      <c r="D102" s="96" t="s">
        <v>109</v>
      </c>
      <c r="E102" s="100">
        <v>1</v>
      </c>
      <c r="F102" s="91">
        <f>VLOOKUP(H102,'PROJECT SUMMARY'!$C$24:$D$31,2,0)</f>
        <v>0</v>
      </c>
      <c r="G102" s="95">
        <f t="shared" si="70"/>
        <v>1</v>
      </c>
      <c r="H102" s="89" t="s">
        <v>9</v>
      </c>
      <c r="I102" s="93">
        <v>31.68</v>
      </c>
      <c r="J102" s="94">
        <f t="shared" si="71"/>
        <v>31.68</v>
      </c>
      <c r="K102" s="90">
        <v>50</v>
      </c>
      <c r="L102" s="90">
        <f t="shared" si="72"/>
        <v>1584</v>
      </c>
      <c r="M102" s="90">
        <v>7920</v>
      </c>
      <c r="N102" s="90">
        <f t="shared" si="73"/>
        <v>7920</v>
      </c>
      <c r="O102" s="90">
        <f t="shared" si="74"/>
        <v>9504</v>
      </c>
      <c r="P102" s="92"/>
    </row>
    <row r="103" spans="1:16" x14ac:dyDescent="0.25">
      <c r="A103" s="41">
        <f>IF(G103&lt;&gt;"",1+MAX($A$13:A102),"")</f>
        <v>47</v>
      </c>
      <c r="C103" s="89" t="s">
        <v>273</v>
      </c>
      <c r="D103" s="96" t="s">
        <v>110</v>
      </c>
      <c r="E103" s="100">
        <v>1</v>
      </c>
      <c r="F103" s="91">
        <f>VLOOKUP(H103,'PROJECT SUMMARY'!$C$24:$D$31,2,0)</f>
        <v>0</v>
      </c>
      <c r="G103" s="95">
        <f t="shared" si="70"/>
        <v>1</v>
      </c>
      <c r="H103" s="89" t="s">
        <v>9</v>
      </c>
      <c r="I103" s="93">
        <v>6.3840000000000003</v>
      </c>
      <c r="J103" s="94">
        <f t="shared" si="71"/>
        <v>6.3840000000000003</v>
      </c>
      <c r="K103" s="90">
        <v>50</v>
      </c>
      <c r="L103" s="90">
        <f t="shared" si="72"/>
        <v>319.20000000000005</v>
      </c>
      <c r="M103" s="90">
        <v>798</v>
      </c>
      <c r="N103" s="90">
        <f t="shared" si="73"/>
        <v>798</v>
      </c>
      <c r="O103" s="90">
        <f t="shared" si="74"/>
        <v>1117.2</v>
      </c>
      <c r="P103" s="92"/>
    </row>
    <row r="104" spans="1:16" x14ac:dyDescent="0.25">
      <c r="A104" s="41">
        <f>IF(G104&lt;&gt;"",1+MAX($A$13:A103),"")</f>
        <v>48</v>
      </c>
      <c r="C104" s="89" t="s">
        <v>273</v>
      </c>
      <c r="D104" s="96" t="s">
        <v>111</v>
      </c>
      <c r="E104" s="100">
        <v>1</v>
      </c>
      <c r="F104" s="91">
        <f>VLOOKUP(H104,'PROJECT SUMMARY'!$C$24:$D$31,2,0)</f>
        <v>0</v>
      </c>
      <c r="G104" s="95">
        <f t="shared" si="70"/>
        <v>1</v>
      </c>
      <c r="H104" s="89" t="s">
        <v>9</v>
      </c>
      <c r="I104" s="93">
        <v>2.6005908</v>
      </c>
      <c r="J104" s="94">
        <f t="shared" si="71"/>
        <v>2.6005908</v>
      </c>
      <c r="K104" s="90">
        <v>50</v>
      </c>
      <c r="L104" s="90">
        <f t="shared" si="72"/>
        <v>130.02954</v>
      </c>
      <c r="M104" s="90">
        <v>325.07384999999999</v>
      </c>
      <c r="N104" s="90">
        <f t="shared" si="73"/>
        <v>325.07384999999999</v>
      </c>
      <c r="O104" s="90">
        <f t="shared" si="74"/>
        <v>455.10338999999999</v>
      </c>
      <c r="P104" s="92"/>
    </row>
    <row r="105" spans="1:16" x14ac:dyDescent="0.25">
      <c r="A105" s="41">
        <f>IF(G105&lt;&gt;"",1+MAX($A$13:A104),"")</f>
        <v>49</v>
      </c>
      <c r="C105" s="89" t="s">
        <v>273</v>
      </c>
      <c r="D105" s="96" t="s">
        <v>112</v>
      </c>
      <c r="E105" s="100">
        <v>1</v>
      </c>
      <c r="F105" s="91">
        <f>VLOOKUP(H105,'PROJECT SUMMARY'!$C$24:$D$31,2,0)</f>
        <v>0</v>
      </c>
      <c r="G105" s="95">
        <f t="shared" si="70"/>
        <v>1</v>
      </c>
      <c r="H105" s="89" t="s">
        <v>9</v>
      </c>
      <c r="I105" s="93">
        <v>6.0739200000000002</v>
      </c>
      <c r="J105" s="94">
        <f t="shared" si="71"/>
        <v>6.0739200000000002</v>
      </c>
      <c r="K105" s="90">
        <v>50</v>
      </c>
      <c r="L105" s="90">
        <f t="shared" si="72"/>
        <v>303.69600000000003</v>
      </c>
      <c r="M105" s="90">
        <v>759.24</v>
      </c>
      <c r="N105" s="90">
        <f t="shared" si="73"/>
        <v>759.24</v>
      </c>
      <c r="O105" s="90">
        <f t="shared" si="74"/>
        <v>1062.9360000000001</v>
      </c>
      <c r="P105" s="92"/>
    </row>
    <row r="106" spans="1:16" x14ac:dyDescent="0.25">
      <c r="A106" s="41">
        <f>IF(G106&lt;&gt;"",1+MAX($A$13:A105),"")</f>
        <v>50</v>
      </c>
      <c r="C106" s="89" t="s">
        <v>273</v>
      </c>
      <c r="D106" s="96" t="s">
        <v>113</v>
      </c>
      <c r="E106" s="100">
        <v>1</v>
      </c>
      <c r="F106" s="91">
        <f>VLOOKUP(H106,'PROJECT SUMMARY'!$C$24:$D$31,2,0)</f>
        <v>0</v>
      </c>
      <c r="G106" s="95">
        <f t="shared" si="70"/>
        <v>1</v>
      </c>
      <c r="H106" s="89" t="s">
        <v>9</v>
      </c>
      <c r="I106" s="93">
        <v>3.6480000000000001</v>
      </c>
      <c r="J106" s="94">
        <f t="shared" si="71"/>
        <v>3.6480000000000001</v>
      </c>
      <c r="K106" s="90">
        <v>50</v>
      </c>
      <c r="L106" s="90">
        <f t="shared" si="72"/>
        <v>182.4</v>
      </c>
      <c r="M106" s="90">
        <v>456</v>
      </c>
      <c r="N106" s="90">
        <f t="shared" si="73"/>
        <v>456</v>
      </c>
      <c r="O106" s="90">
        <f t="shared" si="74"/>
        <v>638.4</v>
      </c>
      <c r="P106" s="92"/>
    </row>
    <row r="107" spans="1:16" x14ac:dyDescent="0.25">
      <c r="A107" s="41">
        <f>IF(G107&lt;&gt;"",1+MAX($A$13:A106),"")</f>
        <v>51</v>
      </c>
      <c r="C107" s="89" t="s">
        <v>273</v>
      </c>
      <c r="D107" s="96" t="s">
        <v>114</v>
      </c>
      <c r="E107" s="100">
        <v>3</v>
      </c>
      <c r="F107" s="91">
        <f>VLOOKUP(H107,'PROJECT SUMMARY'!$C$24:$D$31,2,0)</f>
        <v>0</v>
      </c>
      <c r="G107" s="95">
        <f t="shared" si="70"/>
        <v>3</v>
      </c>
      <c r="H107" s="89" t="s">
        <v>9</v>
      </c>
      <c r="I107" s="93">
        <v>3.6480000000000001</v>
      </c>
      <c r="J107" s="94">
        <f t="shared" si="71"/>
        <v>10.944000000000001</v>
      </c>
      <c r="K107" s="90">
        <v>50</v>
      </c>
      <c r="L107" s="90">
        <f t="shared" si="72"/>
        <v>547.20000000000005</v>
      </c>
      <c r="M107" s="90">
        <v>456</v>
      </c>
      <c r="N107" s="90">
        <f t="shared" si="73"/>
        <v>1368</v>
      </c>
      <c r="O107" s="90">
        <f t="shared" si="74"/>
        <v>1915.2</v>
      </c>
      <c r="P107" s="92"/>
    </row>
    <row r="108" spans="1:16" x14ac:dyDescent="0.25">
      <c r="A108" s="41">
        <f>IF(G108&lt;&gt;"",1+MAX($A$13:A107),"")</f>
        <v>52</v>
      </c>
      <c r="C108" s="89" t="s">
        <v>273</v>
      </c>
      <c r="D108" s="96" t="s">
        <v>115</v>
      </c>
      <c r="E108" s="100">
        <v>2</v>
      </c>
      <c r="F108" s="91">
        <f>VLOOKUP(H108,'PROJECT SUMMARY'!$C$24:$D$31,2,0)</f>
        <v>0</v>
      </c>
      <c r="G108" s="95">
        <f t="shared" si="70"/>
        <v>2</v>
      </c>
      <c r="H108" s="89" t="s">
        <v>9</v>
      </c>
      <c r="I108" s="93">
        <v>5.4720000000000004</v>
      </c>
      <c r="J108" s="94">
        <f t="shared" si="71"/>
        <v>10.944000000000001</v>
      </c>
      <c r="K108" s="90">
        <v>50</v>
      </c>
      <c r="L108" s="90">
        <f t="shared" si="72"/>
        <v>547.20000000000005</v>
      </c>
      <c r="M108" s="90">
        <v>684</v>
      </c>
      <c r="N108" s="90">
        <f t="shared" si="73"/>
        <v>1368</v>
      </c>
      <c r="O108" s="90">
        <f t="shared" si="74"/>
        <v>1915.2</v>
      </c>
      <c r="P108" s="92"/>
    </row>
    <row r="109" spans="1:16" x14ac:dyDescent="0.25">
      <c r="A109" s="41">
        <f>IF(G109&lt;&gt;"",1+MAX($A$13:A108),"")</f>
        <v>53</v>
      </c>
      <c r="C109" s="89" t="s">
        <v>273</v>
      </c>
      <c r="D109" s="96" t="s">
        <v>116</v>
      </c>
      <c r="E109" s="100">
        <v>1</v>
      </c>
      <c r="F109" s="91">
        <f>VLOOKUP(H109,'PROJECT SUMMARY'!$C$24:$D$31,2,0)</f>
        <v>0</v>
      </c>
      <c r="G109" s="95">
        <f t="shared" si="70"/>
        <v>1</v>
      </c>
      <c r="H109" s="89" t="s">
        <v>9</v>
      </c>
      <c r="I109" s="93">
        <v>6.3840000000000003</v>
      </c>
      <c r="J109" s="94">
        <f t="shared" si="71"/>
        <v>6.3840000000000003</v>
      </c>
      <c r="K109" s="90">
        <v>50</v>
      </c>
      <c r="L109" s="90">
        <f t="shared" si="72"/>
        <v>319.20000000000005</v>
      </c>
      <c r="M109" s="90">
        <v>798</v>
      </c>
      <c r="N109" s="90">
        <f t="shared" si="73"/>
        <v>798</v>
      </c>
      <c r="O109" s="90">
        <f t="shared" si="74"/>
        <v>1117.2</v>
      </c>
      <c r="P109" s="92"/>
    </row>
    <row r="110" spans="1:16" x14ac:dyDescent="0.25">
      <c r="A110" s="41">
        <f>IF(G110&lt;&gt;"",1+MAX($A$13:A109),"")</f>
        <v>54</v>
      </c>
      <c r="C110" s="89" t="s">
        <v>273</v>
      </c>
      <c r="D110" s="96" t="s">
        <v>117</v>
      </c>
      <c r="E110" s="100">
        <v>1</v>
      </c>
      <c r="F110" s="91">
        <f>VLOOKUP(H110,'PROJECT SUMMARY'!$C$24:$D$31,2,0)</f>
        <v>0</v>
      </c>
      <c r="G110" s="95">
        <f t="shared" si="70"/>
        <v>1</v>
      </c>
      <c r="H110" s="89" t="s">
        <v>9</v>
      </c>
      <c r="I110" s="93">
        <v>5.016</v>
      </c>
      <c r="J110" s="94">
        <f t="shared" si="71"/>
        <v>5.016</v>
      </c>
      <c r="K110" s="90">
        <v>50</v>
      </c>
      <c r="L110" s="90">
        <f t="shared" si="72"/>
        <v>250.8</v>
      </c>
      <c r="M110" s="90">
        <v>627</v>
      </c>
      <c r="N110" s="90">
        <f t="shared" si="73"/>
        <v>627</v>
      </c>
      <c r="O110" s="90">
        <f t="shared" si="74"/>
        <v>877.8</v>
      </c>
      <c r="P110" s="92"/>
    </row>
    <row r="111" spans="1:16" x14ac:dyDescent="0.25">
      <c r="A111" s="41">
        <f>IF(G111&lt;&gt;"",1+MAX($A$13:A110),"")</f>
        <v>55</v>
      </c>
      <c r="C111" s="89" t="s">
        <v>273</v>
      </c>
      <c r="D111" s="96" t="s">
        <v>118</v>
      </c>
      <c r="E111" s="100">
        <v>1</v>
      </c>
      <c r="F111" s="91">
        <f>VLOOKUP(H111,'PROJECT SUMMARY'!$C$24:$D$31,2,0)</f>
        <v>0</v>
      </c>
      <c r="G111" s="95">
        <f t="shared" si="70"/>
        <v>1</v>
      </c>
      <c r="H111" s="89" t="s">
        <v>9</v>
      </c>
      <c r="I111" s="93">
        <v>7.2960000000000003</v>
      </c>
      <c r="J111" s="94">
        <f t="shared" si="71"/>
        <v>7.2960000000000003</v>
      </c>
      <c r="K111" s="90">
        <v>50</v>
      </c>
      <c r="L111" s="90">
        <f t="shared" si="72"/>
        <v>364.8</v>
      </c>
      <c r="M111" s="90">
        <v>912</v>
      </c>
      <c r="N111" s="90">
        <f t="shared" si="73"/>
        <v>912</v>
      </c>
      <c r="O111" s="90">
        <f t="shared" si="74"/>
        <v>1276.8</v>
      </c>
      <c r="P111" s="92"/>
    </row>
    <row r="112" spans="1:16" x14ac:dyDescent="0.25">
      <c r="A112" s="41">
        <f>IF(G112&lt;&gt;"",1+MAX($A$13:A111),"")</f>
        <v>56</v>
      </c>
      <c r="C112" s="89" t="s">
        <v>273</v>
      </c>
      <c r="D112" s="96" t="s">
        <v>119</v>
      </c>
      <c r="E112" s="100">
        <v>3</v>
      </c>
      <c r="F112" s="91">
        <f>VLOOKUP(H112,'PROJECT SUMMARY'!$C$24:$D$31,2,0)</f>
        <v>0</v>
      </c>
      <c r="G112" s="95">
        <f t="shared" si="70"/>
        <v>3</v>
      </c>
      <c r="H112" s="89" t="s">
        <v>9</v>
      </c>
      <c r="I112" s="93">
        <v>3.0460799999999999</v>
      </c>
      <c r="J112" s="94">
        <f t="shared" si="71"/>
        <v>9.1382399999999997</v>
      </c>
      <c r="K112" s="90">
        <v>50</v>
      </c>
      <c r="L112" s="90">
        <f t="shared" si="72"/>
        <v>456.91199999999998</v>
      </c>
      <c r="M112" s="90">
        <v>380.76</v>
      </c>
      <c r="N112" s="90">
        <f t="shared" si="73"/>
        <v>1142.28</v>
      </c>
      <c r="O112" s="90">
        <f t="shared" si="74"/>
        <v>1599.192</v>
      </c>
      <c r="P112" s="92"/>
    </row>
    <row r="113" spans="1:16" x14ac:dyDescent="0.25">
      <c r="A113" s="41">
        <f>IF(G113&lt;&gt;"",1+MAX($A$13:A112),"")</f>
        <v>57</v>
      </c>
      <c r="C113" s="89" t="s">
        <v>273</v>
      </c>
      <c r="D113" s="96" t="s">
        <v>120</v>
      </c>
      <c r="E113" s="100">
        <v>2</v>
      </c>
      <c r="F113" s="91">
        <f>VLOOKUP(H113,'PROJECT SUMMARY'!$C$24:$D$31,2,0)</f>
        <v>0</v>
      </c>
      <c r="G113" s="95">
        <f t="shared" si="70"/>
        <v>2</v>
      </c>
      <c r="H113" s="89" t="s">
        <v>9</v>
      </c>
      <c r="I113" s="93">
        <v>5.4720000000000004</v>
      </c>
      <c r="J113" s="94">
        <f t="shared" si="71"/>
        <v>10.944000000000001</v>
      </c>
      <c r="K113" s="90">
        <v>50</v>
      </c>
      <c r="L113" s="90">
        <f t="shared" si="72"/>
        <v>547.20000000000005</v>
      </c>
      <c r="M113" s="90">
        <v>684</v>
      </c>
      <c r="N113" s="90">
        <f t="shared" si="73"/>
        <v>1368</v>
      </c>
      <c r="O113" s="90">
        <f t="shared" si="74"/>
        <v>1915.2</v>
      </c>
      <c r="P113" s="92"/>
    </row>
    <row r="114" spans="1:16" x14ac:dyDescent="0.25">
      <c r="A114" s="41">
        <f>IF(G114&lt;&gt;"",1+MAX($A$13:A113),"")</f>
        <v>58</v>
      </c>
      <c r="C114" s="89" t="s">
        <v>273</v>
      </c>
      <c r="D114" s="96" t="s">
        <v>121</v>
      </c>
      <c r="E114" s="100">
        <v>1</v>
      </c>
      <c r="F114" s="91">
        <f>VLOOKUP(H114,'PROJECT SUMMARY'!$C$24:$D$31,2,0)</f>
        <v>0</v>
      </c>
      <c r="G114" s="95">
        <f t="shared" si="70"/>
        <v>1</v>
      </c>
      <c r="H114" s="89" t="s">
        <v>9</v>
      </c>
      <c r="I114" s="93">
        <v>10.26</v>
      </c>
      <c r="J114" s="94">
        <f t="shared" si="71"/>
        <v>10.26</v>
      </c>
      <c r="K114" s="90">
        <v>50</v>
      </c>
      <c r="L114" s="90">
        <f t="shared" si="72"/>
        <v>513</v>
      </c>
      <c r="M114" s="90">
        <v>1710</v>
      </c>
      <c r="N114" s="90">
        <f t="shared" si="73"/>
        <v>1710</v>
      </c>
      <c r="O114" s="90">
        <f t="shared" si="74"/>
        <v>2223</v>
      </c>
      <c r="P114" s="92"/>
    </row>
    <row r="115" spans="1:16" x14ac:dyDescent="0.25">
      <c r="A115" s="41">
        <f>IF(G115&lt;&gt;"",1+MAX($A$13:A114),"")</f>
        <v>59</v>
      </c>
      <c r="C115" s="89" t="s">
        <v>273</v>
      </c>
      <c r="D115" s="96" t="s">
        <v>122</v>
      </c>
      <c r="E115" s="100">
        <v>1</v>
      </c>
      <c r="F115" s="91">
        <f>VLOOKUP(H115,'PROJECT SUMMARY'!$C$24:$D$31,2,0)</f>
        <v>0</v>
      </c>
      <c r="G115" s="95">
        <f t="shared" si="70"/>
        <v>1</v>
      </c>
      <c r="H115" s="89" t="s">
        <v>9</v>
      </c>
      <c r="I115" s="93">
        <v>9.5760000000000005</v>
      </c>
      <c r="J115" s="94">
        <f t="shared" si="71"/>
        <v>9.5760000000000005</v>
      </c>
      <c r="K115" s="90">
        <v>50</v>
      </c>
      <c r="L115" s="90">
        <f t="shared" si="72"/>
        <v>478.8</v>
      </c>
      <c r="M115" s="90">
        <v>1596</v>
      </c>
      <c r="N115" s="90">
        <f t="shared" si="73"/>
        <v>1596</v>
      </c>
      <c r="O115" s="90">
        <f t="shared" si="74"/>
        <v>2074.8000000000002</v>
      </c>
      <c r="P115" s="92"/>
    </row>
    <row r="116" spans="1:16" x14ac:dyDescent="0.25">
      <c r="A116" s="41">
        <f>IF(G116&lt;&gt;"",1+MAX($A$13:A115),"")</f>
        <v>60</v>
      </c>
      <c r="C116" s="89" t="s">
        <v>273</v>
      </c>
      <c r="D116" s="96" t="s">
        <v>123</v>
      </c>
      <c r="E116" s="100">
        <v>12</v>
      </c>
      <c r="F116" s="91">
        <f>VLOOKUP(H116,'PROJECT SUMMARY'!$C$24:$D$31,2,0)</f>
        <v>0</v>
      </c>
      <c r="G116" s="95">
        <f t="shared" si="70"/>
        <v>12</v>
      </c>
      <c r="H116" s="89" t="s">
        <v>9</v>
      </c>
      <c r="I116" s="93">
        <v>5.4720000000000004</v>
      </c>
      <c r="J116" s="94">
        <f t="shared" si="71"/>
        <v>65.664000000000001</v>
      </c>
      <c r="K116" s="90">
        <v>50</v>
      </c>
      <c r="L116" s="90">
        <f t="shared" si="72"/>
        <v>3283.2000000000003</v>
      </c>
      <c r="M116" s="90">
        <v>684</v>
      </c>
      <c r="N116" s="90">
        <f t="shared" si="73"/>
        <v>8208</v>
      </c>
      <c r="O116" s="90">
        <f t="shared" si="74"/>
        <v>11491.2</v>
      </c>
      <c r="P116" s="92"/>
    </row>
    <row r="117" spans="1:16" x14ac:dyDescent="0.25">
      <c r="A117" s="41" t="str">
        <f>IF(G117&lt;&gt;"",1+MAX($A$13:A116),"")</f>
        <v/>
      </c>
      <c r="D117" s="105"/>
      <c r="E117"/>
      <c r="I117" s="93"/>
      <c r="J117" s="94"/>
      <c r="K117" s="104"/>
      <c r="P117" s="92"/>
    </row>
    <row r="118" spans="1:16" x14ac:dyDescent="0.25">
      <c r="A118" s="41" t="str">
        <f>IF(G118&lt;&gt;"",1+MAX($A$13:A117),"")</f>
        <v/>
      </c>
      <c r="D118" s="103" t="s">
        <v>124</v>
      </c>
      <c r="E118"/>
      <c r="I118" s="93"/>
      <c r="J118" s="94"/>
      <c r="K118" s="104"/>
      <c r="P118" s="92"/>
    </row>
    <row r="119" spans="1:16" x14ac:dyDescent="0.25">
      <c r="A119" s="41">
        <f>IF(G119&lt;&gt;"",1+MAX($A$13:A118),"")</f>
        <v>61</v>
      </c>
      <c r="C119" s="89" t="s">
        <v>273</v>
      </c>
      <c r="D119" s="96" t="s">
        <v>125</v>
      </c>
      <c r="E119" s="100">
        <v>25</v>
      </c>
      <c r="F119" s="91">
        <f>VLOOKUP(H119,'PROJECT SUMMARY'!$C$24:$D$31,2,0)</f>
        <v>0</v>
      </c>
      <c r="G119" s="95">
        <f t="shared" ref="G119" si="75">E119*(1+F119)</f>
        <v>25</v>
      </c>
      <c r="H119" s="89" t="s">
        <v>9</v>
      </c>
      <c r="I119" s="93">
        <v>2</v>
      </c>
      <c r="J119" s="94">
        <f t="shared" ref="J119" si="76">I119*G119</f>
        <v>50</v>
      </c>
      <c r="K119" s="90">
        <v>50</v>
      </c>
      <c r="L119" s="90">
        <f>K119*J119</f>
        <v>2500</v>
      </c>
      <c r="M119" s="90">
        <v>220</v>
      </c>
      <c r="N119" s="90">
        <f>M119*G119</f>
        <v>5500</v>
      </c>
      <c r="O119" s="90">
        <f t="shared" ref="O119" si="77">L119+N119</f>
        <v>8000</v>
      </c>
      <c r="P119" s="92"/>
    </row>
    <row r="120" spans="1:16" x14ac:dyDescent="0.25">
      <c r="A120" s="41" t="str">
        <f>IF(G120&lt;&gt;"",1+MAX($A$13:A119),"")</f>
        <v/>
      </c>
      <c r="D120" s="105"/>
      <c r="E120"/>
      <c r="I120" s="93"/>
      <c r="J120" s="94"/>
      <c r="K120" s="104"/>
      <c r="P120" s="92"/>
    </row>
    <row r="121" spans="1:16" x14ac:dyDescent="0.25">
      <c r="A121" s="41" t="str">
        <f>IF(G121&lt;&gt;"",1+MAX($A$13:A120),"")</f>
        <v/>
      </c>
      <c r="D121" s="103" t="s">
        <v>126</v>
      </c>
      <c r="E121"/>
      <c r="I121" s="93"/>
      <c r="J121" s="94"/>
      <c r="K121" s="104"/>
      <c r="P121" s="92"/>
    </row>
    <row r="122" spans="1:16" x14ac:dyDescent="0.25">
      <c r="A122" s="41">
        <f>IF(G122&lt;&gt;"",1+MAX($A$13:A121),"")</f>
        <v>62</v>
      </c>
      <c r="C122" s="89" t="s">
        <v>273</v>
      </c>
      <c r="D122" s="96" t="s">
        <v>127</v>
      </c>
      <c r="E122" s="100">
        <v>1</v>
      </c>
      <c r="F122" s="91">
        <f>VLOOKUP(H122,'PROJECT SUMMARY'!$C$24:$D$31,2,0)</f>
        <v>0</v>
      </c>
      <c r="G122" s="95">
        <f t="shared" ref="G122:G124" si="78">E122*(1+F122)</f>
        <v>1</v>
      </c>
      <c r="H122" s="89" t="s">
        <v>9</v>
      </c>
      <c r="I122" s="93">
        <v>36</v>
      </c>
      <c r="J122" s="94">
        <f t="shared" ref="J122:J124" si="79">I122*G122</f>
        <v>36</v>
      </c>
      <c r="K122" s="90">
        <v>50</v>
      </c>
      <c r="L122" s="90">
        <f t="shared" ref="L122:L124" si="80">K122*J122</f>
        <v>1800</v>
      </c>
      <c r="M122" s="90">
        <v>5112</v>
      </c>
      <c r="N122" s="90">
        <f t="shared" ref="N122:N124" si="81">M122*G122</f>
        <v>5112</v>
      </c>
      <c r="O122" s="90">
        <f t="shared" ref="O122:O124" si="82">L122+N122</f>
        <v>6912</v>
      </c>
      <c r="P122" s="92"/>
    </row>
    <row r="123" spans="1:16" x14ac:dyDescent="0.25">
      <c r="A123" s="41">
        <f>IF(G123&lt;&gt;"",1+MAX($A$13:A122),"")</f>
        <v>63</v>
      </c>
      <c r="C123" s="89" t="s">
        <v>273</v>
      </c>
      <c r="D123" s="96" t="s">
        <v>128</v>
      </c>
      <c r="E123" s="100">
        <v>2</v>
      </c>
      <c r="F123" s="91">
        <f>VLOOKUP(H123,'PROJECT SUMMARY'!$C$24:$D$31,2,0)</f>
        <v>0</v>
      </c>
      <c r="G123" s="95">
        <f t="shared" si="78"/>
        <v>2</v>
      </c>
      <c r="H123" s="89" t="s">
        <v>9</v>
      </c>
      <c r="I123" s="93">
        <v>18</v>
      </c>
      <c r="J123" s="94">
        <f t="shared" si="79"/>
        <v>36</v>
      </c>
      <c r="K123" s="90">
        <v>50</v>
      </c>
      <c r="L123" s="90">
        <f t="shared" si="80"/>
        <v>1800</v>
      </c>
      <c r="M123" s="90">
        <v>2556</v>
      </c>
      <c r="N123" s="90">
        <f t="shared" si="81"/>
        <v>5112</v>
      </c>
      <c r="O123" s="90">
        <f t="shared" si="82"/>
        <v>6912</v>
      </c>
      <c r="P123" s="92"/>
    </row>
    <row r="124" spans="1:16" x14ac:dyDescent="0.25">
      <c r="A124" s="41">
        <f>IF(G124&lt;&gt;"",1+MAX($A$13:A123),"")</f>
        <v>64</v>
      </c>
      <c r="C124" s="89" t="s">
        <v>273</v>
      </c>
      <c r="D124" s="96" t="s">
        <v>129</v>
      </c>
      <c r="E124" s="100">
        <v>2</v>
      </c>
      <c r="F124" s="91">
        <f>VLOOKUP(H124,'PROJECT SUMMARY'!$C$24:$D$31,2,0)</f>
        <v>0</v>
      </c>
      <c r="G124" s="95">
        <f t="shared" si="78"/>
        <v>2</v>
      </c>
      <c r="H124" s="89" t="s">
        <v>9</v>
      </c>
      <c r="I124" s="93">
        <v>10.0625</v>
      </c>
      <c r="J124" s="94">
        <f t="shared" si="79"/>
        <v>20.125</v>
      </c>
      <c r="K124" s="90">
        <v>50</v>
      </c>
      <c r="L124" s="90">
        <f t="shared" si="80"/>
        <v>1006.25</v>
      </c>
      <c r="M124" s="90">
        <v>1428.875</v>
      </c>
      <c r="N124" s="90">
        <f t="shared" si="81"/>
        <v>2857.75</v>
      </c>
      <c r="O124" s="90">
        <f t="shared" si="82"/>
        <v>3864</v>
      </c>
      <c r="P124" s="92"/>
    </row>
    <row r="125" spans="1:16" x14ac:dyDescent="0.25">
      <c r="A125" s="41" t="str">
        <f>IF(G125&lt;&gt;"",1+MAX($A$13:A124),"")</f>
        <v/>
      </c>
      <c r="D125" s="105"/>
      <c r="E125"/>
      <c r="I125" s="93"/>
      <c r="J125" s="94"/>
      <c r="K125" s="104"/>
      <c r="P125" s="92"/>
    </row>
    <row r="126" spans="1:16" x14ac:dyDescent="0.25">
      <c r="A126" s="41" t="str">
        <f>IF(G126&lt;&gt;"",1+MAX($A$13:A125),"")</f>
        <v/>
      </c>
      <c r="D126" s="103" t="s">
        <v>130</v>
      </c>
      <c r="E126"/>
      <c r="I126" s="93"/>
      <c r="J126" s="94"/>
      <c r="K126" s="104"/>
      <c r="P126" s="92"/>
    </row>
    <row r="127" spans="1:16" x14ac:dyDescent="0.25">
      <c r="A127" s="41">
        <f>IF(G127&lt;&gt;"",1+MAX($A$13:A126),"")</f>
        <v>65</v>
      </c>
      <c r="C127" s="89" t="s">
        <v>273</v>
      </c>
      <c r="D127" s="96" t="s">
        <v>131</v>
      </c>
      <c r="E127" s="100">
        <v>1</v>
      </c>
      <c r="F127" s="91">
        <f>VLOOKUP(H127,'PROJECT SUMMARY'!$C$24:$D$31,2,0)</f>
        <v>0</v>
      </c>
      <c r="G127" s="95">
        <f t="shared" ref="G127:G138" si="83">E127*(1+F127)</f>
        <v>1</v>
      </c>
      <c r="H127" s="89" t="s">
        <v>9</v>
      </c>
      <c r="I127" s="93">
        <v>4.8072794117647053</v>
      </c>
      <c r="J127" s="94">
        <f t="shared" ref="J127:J138" si="84">I127*G127</f>
        <v>4.8072794117647053</v>
      </c>
      <c r="K127" s="90">
        <v>50</v>
      </c>
      <c r="L127" s="90">
        <f t="shared" ref="L127:L138" si="85">K127*J127</f>
        <v>240.36397058823528</v>
      </c>
      <c r="M127" s="90">
        <v>681.03125</v>
      </c>
      <c r="N127" s="90">
        <f t="shared" ref="N127:N138" si="86">M127*G127</f>
        <v>681.03125</v>
      </c>
      <c r="O127" s="90">
        <f t="shared" ref="O127:O138" si="87">L127+N127</f>
        <v>921.39522058823525</v>
      </c>
      <c r="P127" s="92"/>
    </row>
    <row r="128" spans="1:16" x14ac:dyDescent="0.25">
      <c r="A128" s="41">
        <f>IF(G128&lt;&gt;"",1+MAX($A$13:A127),"")</f>
        <v>66</v>
      </c>
      <c r="C128" s="89" t="s">
        <v>273</v>
      </c>
      <c r="D128" s="96" t="s">
        <v>132</v>
      </c>
      <c r="E128" s="100">
        <v>1</v>
      </c>
      <c r="F128" s="91">
        <f>VLOOKUP(H128,'PROJECT SUMMARY'!$C$24:$D$31,2,0)</f>
        <v>0</v>
      </c>
      <c r="G128" s="95">
        <f t="shared" si="83"/>
        <v>1</v>
      </c>
      <c r="H128" s="89" t="s">
        <v>9</v>
      </c>
      <c r="I128" s="93">
        <v>3.1014705882352938</v>
      </c>
      <c r="J128" s="94">
        <f t="shared" si="84"/>
        <v>3.1014705882352938</v>
      </c>
      <c r="K128" s="90">
        <v>50</v>
      </c>
      <c r="L128" s="90">
        <f t="shared" si="85"/>
        <v>155.0735294117647</v>
      </c>
      <c r="M128" s="90">
        <v>439.375</v>
      </c>
      <c r="N128" s="90">
        <f t="shared" si="86"/>
        <v>439.375</v>
      </c>
      <c r="O128" s="90">
        <f t="shared" si="87"/>
        <v>594.44852941176464</v>
      </c>
      <c r="P128" s="92"/>
    </row>
    <row r="129" spans="1:16" x14ac:dyDescent="0.25">
      <c r="A129" s="41">
        <f>IF(G129&lt;&gt;"",1+MAX($A$13:A128),"")</f>
        <v>67</v>
      </c>
      <c r="C129" s="89" t="s">
        <v>273</v>
      </c>
      <c r="D129" s="96" t="s">
        <v>133</v>
      </c>
      <c r="E129" s="100">
        <v>1</v>
      </c>
      <c r="F129" s="91">
        <f>VLOOKUP(H129,'PROJECT SUMMARY'!$C$24:$D$31,2,0)</f>
        <v>0</v>
      </c>
      <c r="G129" s="95">
        <f t="shared" si="83"/>
        <v>1</v>
      </c>
      <c r="H129" s="89" t="s">
        <v>9</v>
      </c>
      <c r="I129" s="93">
        <v>3.1047352941176469</v>
      </c>
      <c r="J129" s="94">
        <f t="shared" si="84"/>
        <v>3.1047352941176469</v>
      </c>
      <c r="K129" s="90">
        <v>50</v>
      </c>
      <c r="L129" s="90">
        <f t="shared" si="85"/>
        <v>155.23676470588234</v>
      </c>
      <c r="M129" s="90">
        <v>439.83749999999998</v>
      </c>
      <c r="N129" s="90">
        <f t="shared" si="86"/>
        <v>439.83749999999998</v>
      </c>
      <c r="O129" s="90">
        <f t="shared" si="87"/>
        <v>595.07426470588234</v>
      </c>
      <c r="P129" s="92"/>
    </row>
    <row r="130" spans="1:16" x14ac:dyDescent="0.25">
      <c r="A130" s="41">
        <f>IF(G130&lt;&gt;"",1+MAX($A$13:A129),"")</f>
        <v>68</v>
      </c>
      <c r="C130" s="89" t="s">
        <v>273</v>
      </c>
      <c r="D130" s="96" t="s">
        <v>134</v>
      </c>
      <c r="E130" s="100">
        <v>1</v>
      </c>
      <c r="F130" s="91">
        <f>VLOOKUP(H130,'PROJECT SUMMARY'!$C$24:$D$31,2,0)</f>
        <v>0</v>
      </c>
      <c r="G130" s="95">
        <f t="shared" si="83"/>
        <v>1</v>
      </c>
      <c r="H130" s="89" t="s">
        <v>9</v>
      </c>
      <c r="I130" s="93">
        <v>2.7310171568627446</v>
      </c>
      <c r="J130" s="94">
        <f t="shared" si="84"/>
        <v>2.7310171568627446</v>
      </c>
      <c r="K130" s="90">
        <v>50</v>
      </c>
      <c r="L130" s="90">
        <f t="shared" si="85"/>
        <v>136.55085784313724</v>
      </c>
      <c r="M130" s="90">
        <v>278.56374999999997</v>
      </c>
      <c r="N130" s="90">
        <f t="shared" si="86"/>
        <v>278.56374999999997</v>
      </c>
      <c r="O130" s="90">
        <f t="shared" si="87"/>
        <v>415.11460784313721</v>
      </c>
      <c r="P130" s="92"/>
    </row>
    <row r="131" spans="1:16" x14ac:dyDescent="0.25">
      <c r="A131" s="41">
        <f>IF(G131&lt;&gt;"",1+MAX($A$13:A130),"")</f>
        <v>69</v>
      </c>
      <c r="C131" s="89" t="s">
        <v>273</v>
      </c>
      <c r="D131" s="96" t="s">
        <v>135</v>
      </c>
      <c r="E131" s="100">
        <v>2</v>
      </c>
      <c r="F131" s="91">
        <f>VLOOKUP(H131,'PROJECT SUMMARY'!$C$24:$D$31,2,0)</f>
        <v>0</v>
      </c>
      <c r="G131" s="95">
        <f t="shared" si="83"/>
        <v>2</v>
      </c>
      <c r="H131" s="89" t="s">
        <v>9</v>
      </c>
      <c r="I131" s="93">
        <v>4.6522058823529413</v>
      </c>
      <c r="J131" s="94">
        <f t="shared" si="84"/>
        <v>9.3044117647058826</v>
      </c>
      <c r="K131" s="90">
        <v>50</v>
      </c>
      <c r="L131" s="90">
        <f t="shared" si="85"/>
        <v>465.22058823529414</v>
      </c>
      <c r="M131" s="90">
        <v>659.0625</v>
      </c>
      <c r="N131" s="90">
        <f t="shared" si="86"/>
        <v>1318.125</v>
      </c>
      <c r="O131" s="90">
        <f t="shared" si="87"/>
        <v>1783.3455882352941</v>
      </c>
      <c r="P131" s="92"/>
    </row>
    <row r="132" spans="1:16" x14ac:dyDescent="0.25">
      <c r="A132" s="41">
        <f>IF(G132&lt;&gt;"",1+MAX($A$13:A131),"")</f>
        <v>70</v>
      </c>
      <c r="C132" s="89" t="s">
        <v>273</v>
      </c>
      <c r="D132" s="96" t="s">
        <v>136</v>
      </c>
      <c r="E132" s="100">
        <v>1</v>
      </c>
      <c r="F132" s="91">
        <f>VLOOKUP(H132,'PROJECT SUMMARY'!$C$24:$D$31,2,0)</f>
        <v>0</v>
      </c>
      <c r="G132" s="95">
        <f t="shared" si="83"/>
        <v>1</v>
      </c>
      <c r="H132" s="89" t="s">
        <v>9</v>
      </c>
      <c r="I132" s="93">
        <v>14.39735294117647</v>
      </c>
      <c r="J132" s="94">
        <f t="shared" si="84"/>
        <v>14.39735294117647</v>
      </c>
      <c r="K132" s="90">
        <v>50</v>
      </c>
      <c r="L132" s="90">
        <f t="shared" si="85"/>
        <v>719.86764705882354</v>
      </c>
      <c r="M132" s="90">
        <v>2039.625</v>
      </c>
      <c r="N132" s="90">
        <f t="shared" si="86"/>
        <v>2039.625</v>
      </c>
      <c r="O132" s="90">
        <f t="shared" si="87"/>
        <v>2759.4926470588234</v>
      </c>
      <c r="P132" s="92"/>
    </row>
    <row r="133" spans="1:16" x14ac:dyDescent="0.25">
      <c r="A133" s="41">
        <f>IF(G133&lt;&gt;"",1+MAX($A$13:A132),"")</f>
        <v>71</v>
      </c>
      <c r="C133" s="89" t="s">
        <v>273</v>
      </c>
      <c r="D133" s="96" t="s">
        <v>137</v>
      </c>
      <c r="E133" s="100">
        <v>2</v>
      </c>
      <c r="F133" s="91">
        <f>VLOOKUP(H133,'PROJECT SUMMARY'!$C$24:$D$31,2,0)</f>
        <v>0</v>
      </c>
      <c r="G133" s="95">
        <f t="shared" si="83"/>
        <v>2</v>
      </c>
      <c r="H133" s="89" t="s">
        <v>9</v>
      </c>
      <c r="I133" s="93">
        <v>7.3455882352941178</v>
      </c>
      <c r="J133" s="94">
        <f t="shared" si="84"/>
        <v>14.691176470588236</v>
      </c>
      <c r="K133" s="90">
        <v>50</v>
      </c>
      <c r="L133" s="90">
        <f t="shared" si="85"/>
        <v>734.55882352941182</v>
      </c>
      <c r="M133" s="90">
        <v>1040.625</v>
      </c>
      <c r="N133" s="90">
        <f t="shared" si="86"/>
        <v>2081.25</v>
      </c>
      <c r="O133" s="90">
        <f t="shared" si="87"/>
        <v>2815.8088235294117</v>
      </c>
      <c r="P133" s="92"/>
    </row>
    <row r="134" spans="1:16" x14ac:dyDescent="0.25">
      <c r="A134" s="41">
        <f>IF(G134&lt;&gt;"",1+MAX($A$13:A133),"")</f>
        <v>72</v>
      </c>
      <c r="C134" s="89" t="s">
        <v>273</v>
      </c>
      <c r="D134" s="96" t="s">
        <v>138</v>
      </c>
      <c r="E134" s="100">
        <v>1</v>
      </c>
      <c r="F134" s="91">
        <f>VLOOKUP(H134,'PROJECT SUMMARY'!$C$24:$D$31,2,0)</f>
        <v>0</v>
      </c>
      <c r="G134" s="95">
        <f t="shared" si="83"/>
        <v>1</v>
      </c>
      <c r="H134" s="89" t="s">
        <v>9</v>
      </c>
      <c r="I134" s="93">
        <v>2.7205882352941178</v>
      </c>
      <c r="J134" s="94">
        <f t="shared" si="84"/>
        <v>2.7205882352941178</v>
      </c>
      <c r="K134" s="90">
        <v>50</v>
      </c>
      <c r="L134" s="90">
        <f t="shared" si="85"/>
        <v>136.02941176470588</v>
      </c>
      <c r="M134" s="90">
        <v>346.875</v>
      </c>
      <c r="N134" s="90">
        <f t="shared" si="86"/>
        <v>346.875</v>
      </c>
      <c r="O134" s="90">
        <f t="shared" si="87"/>
        <v>482.90441176470586</v>
      </c>
      <c r="P134" s="92"/>
    </row>
    <row r="135" spans="1:16" x14ac:dyDescent="0.25">
      <c r="A135" s="41">
        <f>IF(G135&lt;&gt;"",1+MAX($A$13:A134),"")</f>
        <v>73</v>
      </c>
      <c r="C135" s="89" t="s">
        <v>273</v>
      </c>
      <c r="D135" s="96" t="s">
        <v>139</v>
      </c>
      <c r="E135" s="100">
        <v>1</v>
      </c>
      <c r="F135" s="91">
        <f>VLOOKUP(H135,'PROJECT SUMMARY'!$C$24:$D$31,2,0)</f>
        <v>0</v>
      </c>
      <c r="G135" s="95">
        <f t="shared" si="83"/>
        <v>1</v>
      </c>
      <c r="H135" s="89" t="s">
        <v>9</v>
      </c>
      <c r="I135" s="93">
        <v>4.1135294117647057</v>
      </c>
      <c r="J135" s="94">
        <f t="shared" si="84"/>
        <v>4.1135294117647057</v>
      </c>
      <c r="K135" s="90">
        <v>50</v>
      </c>
      <c r="L135" s="90">
        <f t="shared" si="85"/>
        <v>205.67647058823528</v>
      </c>
      <c r="M135" s="90">
        <v>582.75</v>
      </c>
      <c r="N135" s="90">
        <f t="shared" si="86"/>
        <v>582.75</v>
      </c>
      <c r="O135" s="90">
        <f t="shared" si="87"/>
        <v>788.42647058823525</v>
      </c>
      <c r="P135" s="92"/>
    </row>
    <row r="136" spans="1:16" x14ac:dyDescent="0.25">
      <c r="A136" s="41">
        <f>IF(G136&lt;&gt;"",1+MAX($A$13:A135),"")</f>
        <v>74</v>
      </c>
      <c r="C136" s="89" t="s">
        <v>273</v>
      </c>
      <c r="D136" s="96" t="s">
        <v>140</v>
      </c>
      <c r="E136" s="100">
        <v>1</v>
      </c>
      <c r="F136" s="91">
        <f>VLOOKUP(H136,'PROJECT SUMMARY'!$C$24:$D$31,2,0)</f>
        <v>0</v>
      </c>
      <c r="G136" s="95">
        <f t="shared" si="83"/>
        <v>1</v>
      </c>
      <c r="H136" s="89" t="s">
        <v>9</v>
      </c>
      <c r="I136" s="93">
        <v>5.141911764705883</v>
      </c>
      <c r="J136" s="94">
        <f t="shared" si="84"/>
        <v>5.141911764705883</v>
      </c>
      <c r="K136" s="90">
        <v>50</v>
      </c>
      <c r="L136" s="90">
        <f t="shared" si="85"/>
        <v>257.09558823529414</v>
      </c>
      <c r="M136" s="90">
        <v>728.4375</v>
      </c>
      <c r="N136" s="90">
        <f t="shared" si="86"/>
        <v>728.4375</v>
      </c>
      <c r="O136" s="90">
        <f t="shared" si="87"/>
        <v>985.53308823529414</v>
      </c>
      <c r="P136" s="92"/>
    </row>
    <row r="137" spans="1:16" x14ac:dyDescent="0.25">
      <c r="A137" s="41">
        <f>IF(G137&lt;&gt;"",1+MAX($A$13:A136),"")</f>
        <v>75</v>
      </c>
      <c r="C137" s="89" t="s">
        <v>273</v>
      </c>
      <c r="D137" s="96" t="s">
        <v>141</v>
      </c>
      <c r="E137" s="100">
        <v>2</v>
      </c>
      <c r="F137" s="91">
        <f>VLOOKUP(H137,'PROJECT SUMMARY'!$C$24:$D$31,2,0)</f>
        <v>0</v>
      </c>
      <c r="G137" s="95">
        <f t="shared" si="83"/>
        <v>2</v>
      </c>
      <c r="H137" s="89" t="s">
        <v>9</v>
      </c>
      <c r="I137" s="93">
        <v>2.3805147058823528</v>
      </c>
      <c r="J137" s="94">
        <f t="shared" si="84"/>
        <v>4.7610294117647056</v>
      </c>
      <c r="K137" s="90">
        <v>50</v>
      </c>
      <c r="L137" s="90">
        <f t="shared" si="85"/>
        <v>238.05147058823528</v>
      </c>
      <c r="M137" s="90">
        <v>242.8125</v>
      </c>
      <c r="N137" s="90">
        <f t="shared" si="86"/>
        <v>485.625</v>
      </c>
      <c r="O137" s="90">
        <f t="shared" si="87"/>
        <v>723.67647058823525</v>
      </c>
      <c r="P137" s="92"/>
    </row>
    <row r="138" spans="1:16" x14ac:dyDescent="0.25">
      <c r="A138" s="41">
        <f>IF(G138&lt;&gt;"",1+MAX($A$13:A137),"")</f>
        <v>76</v>
      </c>
      <c r="C138" s="89" t="s">
        <v>273</v>
      </c>
      <c r="D138" s="96" t="s">
        <v>142</v>
      </c>
      <c r="E138" s="100">
        <v>1</v>
      </c>
      <c r="F138" s="91">
        <f>VLOOKUP(H138,'PROJECT SUMMARY'!$C$24:$D$31,2,0)</f>
        <v>0</v>
      </c>
      <c r="G138" s="95">
        <f t="shared" si="83"/>
        <v>1</v>
      </c>
      <c r="H138" s="89" t="s">
        <v>9</v>
      </c>
      <c r="I138" s="93">
        <v>2.6117647058823534</v>
      </c>
      <c r="J138" s="94">
        <f t="shared" si="84"/>
        <v>2.6117647058823534</v>
      </c>
      <c r="K138" s="90">
        <v>50</v>
      </c>
      <c r="L138" s="90">
        <f t="shared" si="85"/>
        <v>130.58823529411768</v>
      </c>
      <c r="M138" s="90">
        <v>333</v>
      </c>
      <c r="N138" s="90">
        <f t="shared" si="86"/>
        <v>333</v>
      </c>
      <c r="O138" s="90">
        <f t="shared" si="87"/>
        <v>463.58823529411768</v>
      </c>
      <c r="P138" s="92"/>
    </row>
    <row r="139" spans="1:16" x14ac:dyDescent="0.25">
      <c r="A139" s="41" t="str">
        <f>IF(G139&lt;&gt;"",1+MAX($A$13:A138),"")</f>
        <v/>
      </c>
      <c r="D139" s="96"/>
      <c r="E139" s="100"/>
      <c r="I139" s="93"/>
      <c r="J139" s="94"/>
      <c r="P139" s="92"/>
    </row>
    <row r="140" spans="1:16" x14ac:dyDescent="0.25">
      <c r="A140" s="41">
        <f>IF(G140&lt;&gt;"",1+MAX($A$13:A139),"")</f>
        <v>77</v>
      </c>
      <c r="C140" s="89" t="s">
        <v>273</v>
      </c>
      <c r="D140" s="96" t="s">
        <v>143</v>
      </c>
      <c r="E140" s="100">
        <v>83.45</v>
      </c>
      <c r="F140" s="91">
        <f>VLOOKUP(H140,'PROJECT SUMMARY'!$C$24:$D$31,2,0)</f>
        <v>0.05</v>
      </c>
      <c r="G140" s="95">
        <f t="shared" ref="G140" si="88">E140*(1+F140)</f>
        <v>87.622500000000002</v>
      </c>
      <c r="H140" s="89" t="s">
        <v>11</v>
      </c>
      <c r="I140" s="93">
        <v>4.2000000000000003E-2</v>
      </c>
      <c r="J140" s="94">
        <f t="shared" ref="J140" si="89">I140*G140</f>
        <v>3.6801450000000004</v>
      </c>
      <c r="K140" s="90">
        <v>50</v>
      </c>
      <c r="L140" s="90">
        <f>K140*J140</f>
        <v>184.00725000000003</v>
      </c>
      <c r="M140" s="90">
        <v>6.11</v>
      </c>
      <c r="N140" s="90">
        <f>M140*G140</f>
        <v>535.3734750000001</v>
      </c>
      <c r="O140" s="90">
        <f t="shared" ref="O140" si="90">L140+N140</f>
        <v>719.3807250000001</v>
      </c>
      <c r="P140" s="92"/>
    </row>
    <row r="141" spans="1:16" ht="16.5" thickBot="1" x14ac:dyDescent="0.3">
      <c r="A141" s="41" t="str">
        <f>IF(G141&lt;&gt;"",1+MAX($A$13:A140),"")</f>
        <v/>
      </c>
      <c r="D141" s="105"/>
      <c r="E141"/>
      <c r="I141" s="93"/>
      <c r="J141" s="94"/>
      <c r="K141" s="104"/>
      <c r="P141" s="92"/>
    </row>
    <row r="142" spans="1:16" ht="16.5" thickBot="1" x14ac:dyDescent="0.3">
      <c r="A142" s="73" t="str">
        <f>IF(G142&lt;&gt;"",1+MAX($A$13:A141),"")</f>
        <v/>
      </c>
      <c r="B142" s="69"/>
      <c r="C142" s="69" t="s">
        <v>274</v>
      </c>
      <c r="D142" s="67" t="s">
        <v>275</v>
      </c>
      <c r="E142" s="71"/>
      <c r="F142" s="72"/>
      <c r="G142" s="71"/>
      <c r="H142" s="71"/>
      <c r="I142" s="67"/>
      <c r="J142" s="67"/>
      <c r="K142" s="68"/>
      <c r="L142" s="68"/>
      <c r="M142" s="68"/>
      <c r="N142" s="68"/>
      <c r="O142" s="70"/>
      <c r="P142" s="74">
        <f>SUM(O143:O292)</f>
        <v>155002.74995114186</v>
      </c>
    </row>
    <row r="143" spans="1:16" x14ac:dyDescent="0.25">
      <c r="A143" s="41" t="str">
        <f>IF(G143&lt;&gt;"",1+MAX($A$13:A142),"")</f>
        <v/>
      </c>
      <c r="D143"/>
      <c r="E143"/>
      <c r="I143" s="93"/>
      <c r="J143" s="94"/>
      <c r="K143" s="104"/>
      <c r="P143" s="92"/>
    </row>
    <row r="144" spans="1:16" x14ac:dyDescent="0.25">
      <c r="A144" s="41" t="str">
        <f>IF(G144&lt;&gt;"",1+MAX($A$13:A143),"")</f>
        <v/>
      </c>
      <c r="D144" s="103" t="s">
        <v>144</v>
      </c>
      <c r="E144"/>
      <c r="I144" s="93"/>
      <c r="J144" s="94"/>
      <c r="K144" s="104"/>
      <c r="P144" s="92"/>
    </row>
    <row r="145" spans="1:17" x14ac:dyDescent="0.25">
      <c r="A145" s="41">
        <f>IF(G145&lt;&gt;"",1+MAX($A$13:A144),"")</f>
        <v>78</v>
      </c>
      <c r="D145" s="107" t="s">
        <v>145</v>
      </c>
      <c r="E145" s="108">
        <v>156.44</v>
      </c>
      <c r="F145" s="109" t="s">
        <v>10</v>
      </c>
      <c r="G145" s="110">
        <v>14</v>
      </c>
      <c r="H145" s="111" t="s">
        <v>146</v>
      </c>
      <c r="I145" s="93"/>
      <c r="J145" s="94"/>
      <c r="K145" s="104"/>
      <c r="P145" s="92"/>
    </row>
    <row r="146" spans="1:17" x14ac:dyDescent="0.25">
      <c r="A146" s="41">
        <f>IF(G146&lt;&gt;"",1+MAX($A$13:A145),"")</f>
        <v>79</v>
      </c>
      <c r="C146" s="89" t="s">
        <v>274</v>
      </c>
      <c r="D146" s="96" t="s">
        <v>147</v>
      </c>
      <c r="E146" s="100">
        <f>E145*G145*1/32</f>
        <v>68.442499999999995</v>
      </c>
      <c r="F146" s="91">
        <f>VLOOKUP(H146,'PROJECT SUMMARY'!$C$24:$D$31,2,0)</f>
        <v>0</v>
      </c>
      <c r="G146" s="95">
        <f t="shared" ref="G146:G154" si="91">E146*(1+F146)</f>
        <v>68.442499999999995</v>
      </c>
      <c r="H146" s="89" t="s">
        <v>9</v>
      </c>
      <c r="I146" s="93">
        <v>0.38</v>
      </c>
      <c r="J146" s="94">
        <f t="shared" ref="J146:J154" si="92">I146*G146</f>
        <v>26.008149999999997</v>
      </c>
      <c r="K146" s="90">
        <v>50</v>
      </c>
      <c r="L146" s="90">
        <f t="shared" ref="L146:L154" si="93">K146*J146</f>
        <v>1300.4074999999998</v>
      </c>
      <c r="M146" s="90">
        <v>14.08</v>
      </c>
      <c r="N146" s="90">
        <f t="shared" ref="N146:N154" si="94">M146*G146</f>
        <v>963.67039999999997</v>
      </c>
      <c r="O146" s="90">
        <f t="shared" ref="O146:O154" si="95">L146+N146</f>
        <v>2264.0778999999998</v>
      </c>
      <c r="P146" s="92"/>
      <c r="Q146" s="110"/>
    </row>
    <row r="147" spans="1:17" x14ac:dyDescent="0.25">
      <c r="A147" s="41">
        <f>IF(G147&lt;&gt;"",1+MAX($A$13:A146),"")</f>
        <v>80</v>
      </c>
      <c r="C147" s="89" t="s">
        <v>274</v>
      </c>
      <c r="D147" s="96" t="s">
        <v>148</v>
      </c>
      <c r="E147" s="100">
        <f>E145/1.33</f>
        <v>117.62406015037593</v>
      </c>
      <c r="F147" s="91">
        <f>VLOOKUP(H147,'PROJECT SUMMARY'!$C$24:$D$31,2,0)</f>
        <v>0</v>
      </c>
      <c r="G147" s="95">
        <f t="shared" si="91"/>
        <v>117.62406015037593</v>
      </c>
      <c r="H147" s="89" t="s">
        <v>9</v>
      </c>
      <c r="I147" s="93">
        <v>0.53200000000000003</v>
      </c>
      <c r="J147" s="94">
        <f t="shared" si="92"/>
        <v>62.575999999999993</v>
      </c>
      <c r="K147" s="90">
        <v>50</v>
      </c>
      <c r="L147" s="90">
        <f t="shared" si="93"/>
        <v>3128.7999999999997</v>
      </c>
      <c r="M147" s="90">
        <v>19.739999999999998</v>
      </c>
      <c r="N147" s="90">
        <f t="shared" si="94"/>
        <v>2321.8989473684205</v>
      </c>
      <c r="O147" s="90">
        <f t="shared" si="95"/>
        <v>5450.6989473684207</v>
      </c>
      <c r="P147" s="92"/>
      <c r="Q147" s="110"/>
    </row>
    <row r="148" spans="1:17" x14ac:dyDescent="0.25">
      <c r="A148" s="41">
        <f>IF(G148&lt;&gt;"",1+MAX($A$13:A147),"")</f>
        <v>81</v>
      </c>
      <c r="C148" s="89" t="s">
        <v>274</v>
      </c>
      <c r="D148" s="96" t="s">
        <v>149</v>
      </c>
      <c r="E148" s="100">
        <f>E145*2</f>
        <v>312.88</v>
      </c>
      <c r="F148" s="91">
        <f>VLOOKUP(H148,'PROJECT SUMMARY'!$C$24:$D$31,2,0)</f>
        <v>0.05</v>
      </c>
      <c r="G148" s="95">
        <f t="shared" si="91"/>
        <v>328.524</v>
      </c>
      <c r="H148" s="89" t="s">
        <v>10</v>
      </c>
      <c r="I148" s="93">
        <v>3.7999999999999999E-2</v>
      </c>
      <c r="J148" s="94">
        <f t="shared" si="92"/>
        <v>12.483912</v>
      </c>
      <c r="K148" s="90">
        <v>50</v>
      </c>
      <c r="L148" s="90">
        <f t="shared" si="93"/>
        <v>624.19560000000001</v>
      </c>
      <c r="M148" s="90">
        <v>1.41</v>
      </c>
      <c r="N148" s="90">
        <f t="shared" si="94"/>
        <v>463.21884</v>
      </c>
      <c r="O148" s="90">
        <f t="shared" si="95"/>
        <v>1087.41444</v>
      </c>
      <c r="P148" s="92"/>
      <c r="Q148" s="110"/>
    </row>
    <row r="149" spans="1:17" x14ac:dyDescent="0.25">
      <c r="A149" s="41">
        <f>IF(G149&lt;&gt;"",1+MAX($A$13:A148),"")</f>
        <v>82</v>
      </c>
      <c r="C149" s="89" t="s">
        <v>274</v>
      </c>
      <c r="D149" s="96" t="s">
        <v>150</v>
      </c>
      <c r="E149" s="100">
        <f>E145</f>
        <v>156.44</v>
      </c>
      <c r="F149" s="91">
        <f>VLOOKUP(H149,'PROJECT SUMMARY'!$C$24:$D$31,2,0)</f>
        <v>0.05</v>
      </c>
      <c r="G149" s="95">
        <f t="shared" si="91"/>
        <v>164.262</v>
      </c>
      <c r="H149" s="89" t="s">
        <v>10</v>
      </c>
      <c r="I149" s="93">
        <v>3.7999999999999999E-2</v>
      </c>
      <c r="J149" s="94">
        <f t="shared" ref="J149" si="96">I149*G149</f>
        <v>6.2419560000000001</v>
      </c>
      <c r="K149" s="90">
        <v>50</v>
      </c>
      <c r="L149" s="90">
        <f t="shared" ref="L149" si="97">K149*J149</f>
        <v>312.09780000000001</v>
      </c>
      <c r="M149" s="90">
        <v>1.41</v>
      </c>
      <c r="N149" s="90">
        <f t="shared" si="94"/>
        <v>231.60942</v>
      </c>
      <c r="O149" s="90">
        <f t="shared" si="95"/>
        <v>543.70722000000001</v>
      </c>
      <c r="P149" s="92"/>
      <c r="Q149" s="110"/>
    </row>
    <row r="150" spans="1:17" x14ac:dyDescent="0.25">
      <c r="A150" s="41">
        <f>IF(G150&lt;&gt;"",1+MAX($A$13:A149),"")</f>
        <v>83</v>
      </c>
      <c r="C150" s="89" t="s">
        <v>274</v>
      </c>
      <c r="D150" s="96" t="s">
        <v>151</v>
      </c>
      <c r="E150" s="100">
        <f>E145*2</f>
        <v>312.88</v>
      </c>
      <c r="F150" s="91">
        <f>VLOOKUP(H150,'PROJECT SUMMARY'!$C$24:$D$31,2,0)</f>
        <v>0.05</v>
      </c>
      <c r="G150" s="95">
        <f t="shared" si="91"/>
        <v>328.524</v>
      </c>
      <c r="H150" s="89" t="s">
        <v>10</v>
      </c>
      <c r="I150" s="93">
        <v>1.2E-2</v>
      </c>
      <c r="J150" s="94">
        <f t="shared" si="92"/>
        <v>3.942288</v>
      </c>
      <c r="K150" s="90">
        <v>50</v>
      </c>
      <c r="L150" s="90">
        <f t="shared" si="93"/>
        <v>197.11439999999999</v>
      </c>
      <c r="M150" s="90">
        <v>0.1</v>
      </c>
      <c r="N150" s="90">
        <f t="shared" si="94"/>
        <v>32.852400000000003</v>
      </c>
      <c r="O150" s="90">
        <f t="shared" si="95"/>
        <v>229.96679999999998</v>
      </c>
      <c r="P150" s="92"/>
      <c r="Q150" s="110"/>
    </row>
    <row r="151" spans="1:17" x14ac:dyDescent="0.25">
      <c r="A151" s="41">
        <f>IF(G151&lt;&gt;"",1+MAX($A$13:A150),"")</f>
        <v>84</v>
      </c>
      <c r="C151" s="89" t="s">
        <v>274</v>
      </c>
      <c r="D151" s="96" t="s">
        <v>152</v>
      </c>
      <c r="E151" s="100">
        <f>E145*G145</f>
        <v>2190.16</v>
      </c>
      <c r="F151" s="91">
        <f>VLOOKUP(H151,'PROJECT SUMMARY'!$C$24:$D$31,2,0)</f>
        <v>0.05</v>
      </c>
      <c r="G151" s="95">
        <f t="shared" si="91"/>
        <v>2299.6680000000001</v>
      </c>
      <c r="H151" s="89" t="s">
        <v>11</v>
      </c>
      <c r="I151" s="93">
        <v>1.0999999999999999E-2</v>
      </c>
      <c r="J151" s="94">
        <f t="shared" si="92"/>
        <v>25.296347999999998</v>
      </c>
      <c r="K151" s="90">
        <v>50</v>
      </c>
      <c r="L151" s="90">
        <f t="shared" si="93"/>
        <v>1264.8173999999999</v>
      </c>
      <c r="M151" s="90">
        <v>0.86</v>
      </c>
      <c r="N151" s="90">
        <f t="shared" si="94"/>
        <v>1977.7144800000001</v>
      </c>
      <c r="O151" s="90">
        <f t="shared" si="95"/>
        <v>3242.53188</v>
      </c>
      <c r="P151" s="92"/>
      <c r="Q151" s="110"/>
    </row>
    <row r="152" spans="1:17" x14ac:dyDescent="0.25">
      <c r="A152" s="41">
        <f>IF(G152&lt;&gt;"",1+MAX($A$13:A151),"")</f>
        <v>85</v>
      </c>
      <c r="C152" s="89" t="s">
        <v>274</v>
      </c>
      <c r="D152" s="96" t="s">
        <v>153</v>
      </c>
      <c r="E152" s="100">
        <f>E145*G145*1/32</f>
        <v>68.442499999999995</v>
      </c>
      <c r="F152" s="91">
        <f>VLOOKUP(H152,'PROJECT SUMMARY'!$C$24:$D$31,2,0)</f>
        <v>0</v>
      </c>
      <c r="G152" s="95">
        <f t="shared" si="91"/>
        <v>68.442499999999995</v>
      </c>
      <c r="H152" s="89" t="s">
        <v>9</v>
      </c>
      <c r="I152" s="93">
        <v>0.48</v>
      </c>
      <c r="J152" s="94">
        <f t="shared" si="92"/>
        <v>32.852399999999996</v>
      </c>
      <c r="K152" s="90">
        <v>50</v>
      </c>
      <c r="L152" s="90">
        <f t="shared" si="93"/>
        <v>1642.62</v>
      </c>
      <c r="M152" s="90">
        <v>29.12</v>
      </c>
      <c r="N152" s="90">
        <f t="shared" si="94"/>
        <v>1993.0455999999999</v>
      </c>
      <c r="O152" s="90">
        <f t="shared" si="95"/>
        <v>3635.6655999999998</v>
      </c>
      <c r="P152" s="92"/>
      <c r="Q152" s="110"/>
    </row>
    <row r="153" spans="1:17" x14ac:dyDescent="0.25">
      <c r="A153" s="41">
        <f>IF(G153&lt;&gt;"",1+MAX($A$13:A152),"")</f>
        <v>86</v>
      </c>
      <c r="C153" s="89" t="s">
        <v>274</v>
      </c>
      <c r="D153" s="96" t="s">
        <v>154</v>
      </c>
      <c r="E153" s="100">
        <f>E145*G145*2</f>
        <v>4380.32</v>
      </c>
      <c r="F153" s="91">
        <f>VLOOKUP(H153,'PROJECT SUMMARY'!$C$24:$D$31,2,0)</f>
        <v>0.05</v>
      </c>
      <c r="G153" s="95">
        <f t="shared" si="91"/>
        <v>4599.3360000000002</v>
      </c>
      <c r="H153" s="89" t="s">
        <v>11</v>
      </c>
      <c r="I153" s="93">
        <v>4.0000000000000001E-3</v>
      </c>
      <c r="J153" s="94">
        <f t="shared" si="92"/>
        <v>18.397344</v>
      </c>
      <c r="K153" s="90">
        <v>50</v>
      </c>
      <c r="L153" s="90">
        <f t="shared" si="93"/>
        <v>919.86720000000003</v>
      </c>
      <c r="M153" s="90">
        <v>0.26</v>
      </c>
      <c r="N153" s="90">
        <f t="shared" si="94"/>
        <v>1195.82736</v>
      </c>
      <c r="O153" s="90">
        <f t="shared" si="95"/>
        <v>2115.6945599999999</v>
      </c>
      <c r="P153" s="92"/>
      <c r="Q153" s="110"/>
    </row>
    <row r="154" spans="1:17" x14ac:dyDescent="0.25">
      <c r="A154" s="41">
        <f>IF(G154&lt;&gt;"",1+MAX($A$13:A153),"")</f>
        <v>87</v>
      </c>
      <c r="C154" s="89" t="s">
        <v>274</v>
      </c>
      <c r="D154" s="96" t="s">
        <v>92</v>
      </c>
      <c r="E154" s="100">
        <f>E145*G145</f>
        <v>2190.16</v>
      </c>
      <c r="F154" s="91">
        <f>VLOOKUP(H154,'PROJECT SUMMARY'!$C$24:$D$31,2,0)</f>
        <v>0.05</v>
      </c>
      <c r="G154" s="95">
        <f t="shared" si="91"/>
        <v>2299.6680000000001</v>
      </c>
      <c r="H154" s="89" t="s">
        <v>11</v>
      </c>
      <c r="I154" s="93">
        <v>6.0000000000000001E-3</v>
      </c>
      <c r="J154" s="94">
        <f t="shared" si="92"/>
        <v>13.798008000000001</v>
      </c>
      <c r="K154" s="90">
        <v>50</v>
      </c>
      <c r="L154" s="90">
        <f t="shared" si="93"/>
        <v>689.9004000000001</v>
      </c>
      <c r="M154" s="90">
        <v>0.38</v>
      </c>
      <c r="N154" s="90">
        <f t="shared" si="94"/>
        <v>873.87384000000009</v>
      </c>
      <c r="O154" s="90">
        <f t="shared" si="95"/>
        <v>1563.7742400000002</v>
      </c>
      <c r="P154" s="92"/>
      <c r="Q154" s="110"/>
    </row>
    <row r="155" spans="1:17" x14ac:dyDescent="0.25">
      <c r="A155" s="41" t="str">
        <f>IF(G155&lt;&gt;"",1+MAX($A$13:A154),"")</f>
        <v/>
      </c>
      <c r="D155" s="105"/>
      <c r="E155"/>
      <c r="I155" s="93"/>
      <c r="J155" s="94"/>
      <c r="K155" s="104"/>
      <c r="P155" s="92"/>
      <c r="Q155" s="110"/>
    </row>
    <row r="156" spans="1:17" x14ac:dyDescent="0.25">
      <c r="A156" s="41">
        <f>IF(G156&lt;&gt;"",1+MAX($A$13:A155),"")</f>
        <v>88</v>
      </c>
      <c r="D156" s="107" t="s">
        <v>155</v>
      </c>
      <c r="E156" s="108">
        <v>192.36</v>
      </c>
      <c r="F156" s="109" t="s">
        <v>10</v>
      </c>
      <c r="G156" s="110">
        <v>10</v>
      </c>
      <c r="H156" s="111" t="s">
        <v>146</v>
      </c>
      <c r="I156" s="93"/>
      <c r="J156" s="94"/>
      <c r="K156" s="104"/>
      <c r="P156" s="92"/>
    </row>
    <row r="157" spans="1:17" x14ac:dyDescent="0.25">
      <c r="A157" s="41">
        <f>IF(G157&lt;&gt;"",1+MAX($A$13:A156),"")</f>
        <v>89</v>
      </c>
      <c r="C157" s="89" t="s">
        <v>274</v>
      </c>
      <c r="D157" s="96" t="s">
        <v>147</v>
      </c>
      <c r="E157" s="100">
        <f>E156*G156*1/32</f>
        <v>60.112500000000004</v>
      </c>
      <c r="F157" s="91">
        <f>VLOOKUP(H157,'PROJECT SUMMARY'!$C$24:$D$31,2,0)</f>
        <v>0</v>
      </c>
      <c r="G157" s="95">
        <f t="shared" ref="G157:G165" si="98">E157*(1+F157)</f>
        <v>60.112500000000004</v>
      </c>
      <c r="H157" s="89" t="s">
        <v>9</v>
      </c>
      <c r="I157" s="93">
        <v>0.38</v>
      </c>
      <c r="J157" s="94">
        <f t="shared" ref="J157" si="99">I157*G157</f>
        <v>22.842750000000002</v>
      </c>
      <c r="K157" s="90">
        <v>50</v>
      </c>
      <c r="L157" s="90">
        <f t="shared" ref="L157" si="100">K157*J157</f>
        <v>1142.1375</v>
      </c>
      <c r="M157" s="90">
        <v>14.08</v>
      </c>
      <c r="N157" s="90">
        <f t="shared" ref="N157:N165" si="101">M157*G157</f>
        <v>846.38400000000001</v>
      </c>
      <c r="O157" s="90">
        <f t="shared" ref="O157:O165" si="102">L157+N157</f>
        <v>1988.5215000000001</v>
      </c>
      <c r="P157" s="92"/>
      <c r="Q157" s="110"/>
    </row>
    <row r="158" spans="1:17" x14ac:dyDescent="0.25">
      <c r="A158" s="41">
        <f>IF(G158&lt;&gt;"",1+MAX($A$13:A157),"")</f>
        <v>90</v>
      </c>
      <c r="C158" s="89" t="s">
        <v>274</v>
      </c>
      <c r="D158" s="96" t="s">
        <v>148</v>
      </c>
      <c r="E158" s="100">
        <f>E156/1.33</f>
        <v>144.63157894736841</v>
      </c>
      <c r="F158" s="91">
        <f>VLOOKUP(H158,'PROJECT SUMMARY'!$C$24:$D$31,2,0)</f>
        <v>0</v>
      </c>
      <c r="G158" s="95">
        <f t="shared" si="98"/>
        <v>144.63157894736841</v>
      </c>
      <c r="H158" s="89" t="s">
        <v>9</v>
      </c>
      <c r="I158" s="93">
        <v>0.38</v>
      </c>
      <c r="J158" s="94">
        <f t="shared" ref="J158:J165" si="103">I158*G158</f>
        <v>54.959999999999994</v>
      </c>
      <c r="K158" s="90">
        <v>50</v>
      </c>
      <c r="L158" s="90">
        <f t="shared" ref="L158:L165" si="104">K158*J158</f>
        <v>2747.9999999999995</v>
      </c>
      <c r="M158" s="90">
        <v>14.1</v>
      </c>
      <c r="N158" s="90">
        <f t="shared" si="101"/>
        <v>2039.3052631578946</v>
      </c>
      <c r="O158" s="90">
        <f t="shared" si="102"/>
        <v>4787.3052631578939</v>
      </c>
      <c r="P158" s="92"/>
      <c r="Q158" s="110"/>
    </row>
    <row r="159" spans="1:17" x14ac:dyDescent="0.25">
      <c r="A159" s="41">
        <f>IF(G159&lt;&gt;"",1+MAX($A$13:A158),"")</f>
        <v>91</v>
      </c>
      <c r="C159" s="89" t="s">
        <v>274</v>
      </c>
      <c r="D159" s="96" t="s">
        <v>149</v>
      </c>
      <c r="E159" s="100">
        <f>E156*2</f>
        <v>384.72</v>
      </c>
      <c r="F159" s="91">
        <f>VLOOKUP(H159,'PROJECT SUMMARY'!$C$24:$D$31,2,0)</f>
        <v>0.05</v>
      </c>
      <c r="G159" s="95">
        <f t="shared" si="98"/>
        <v>403.95600000000007</v>
      </c>
      <c r="H159" s="89" t="s">
        <v>10</v>
      </c>
      <c r="I159" s="93">
        <v>3.7999999999999999E-2</v>
      </c>
      <c r="J159" s="94">
        <f t="shared" si="103"/>
        <v>15.350328000000003</v>
      </c>
      <c r="K159" s="90">
        <v>50</v>
      </c>
      <c r="L159" s="90">
        <f t="shared" si="104"/>
        <v>767.51640000000009</v>
      </c>
      <c r="M159" s="90">
        <v>1.41</v>
      </c>
      <c r="N159" s="90">
        <f t="shared" si="101"/>
        <v>569.57796000000008</v>
      </c>
      <c r="O159" s="90">
        <f t="shared" si="102"/>
        <v>1337.0943600000001</v>
      </c>
      <c r="P159" s="92"/>
      <c r="Q159" s="110"/>
    </row>
    <row r="160" spans="1:17" x14ac:dyDescent="0.25">
      <c r="A160" s="41">
        <f>IF(G160&lt;&gt;"",1+MAX($A$13:A159),"")</f>
        <v>92</v>
      </c>
      <c r="C160" s="89" t="s">
        <v>274</v>
      </c>
      <c r="D160" s="96" t="s">
        <v>150</v>
      </c>
      <c r="E160" s="100">
        <f>E156</f>
        <v>192.36</v>
      </c>
      <c r="F160" s="91">
        <f>VLOOKUP(H160,'PROJECT SUMMARY'!$C$24:$D$31,2,0)</f>
        <v>0.05</v>
      </c>
      <c r="G160" s="95">
        <f t="shared" si="98"/>
        <v>201.97800000000004</v>
      </c>
      <c r="H160" s="89" t="s">
        <v>10</v>
      </c>
      <c r="I160" s="93">
        <v>3.7999999999999999E-2</v>
      </c>
      <c r="J160" s="94">
        <f t="shared" si="103"/>
        <v>7.6751640000000014</v>
      </c>
      <c r="K160" s="90">
        <v>50</v>
      </c>
      <c r="L160" s="90">
        <f t="shared" si="104"/>
        <v>383.75820000000004</v>
      </c>
      <c r="M160" s="90">
        <v>1.41</v>
      </c>
      <c r="N160" s="90">
        <f t="shared" si="101"/>
        <v>284.78898000000004</v>
      </c>
      <c r="O160" s="90">
        <f t="shared" si="102"/>
        <v>668.54718000000003</v>
      </c>
      <c r="P160" s="92"/>
      <c r="Q160" s="110"/>
    </row>
    <row r="161" spans="1:17" x14ac:dyDescent="0.25">
      <c r="A161" s="41">
        <f>IF(G161&lt;&gt;"",1+MAX($A$13:A160),"")</f>
        <v>93</v>
      </c>
      <c r="C161" s="89" t="s">
        <v>274</v>
      </c>
      <c r="D161" s="96" t="s">
        <v>151</v>
      </c>
      <c r="E161" s="100">
        <f>E156*2</f>
        <v>384.72</v>
      </c>
      <c r="F161" s="91">
        <f>VLOOKUP(H161,'PROJECT SUMMARY'!$C$24:$D$31,2,0)</f>
        <v>0.05</v>
      </c>
      <c r="G161" s="95">
        <f t="shared" si="98"/>
        <v>403.95600000000007</v>
      </c>
      <c r="H161" s="89" t="s">
        <v>10</v>
      </c>
      <c r="I161" s="93">
        <v>1.2E-2</v>
      </c>
      <c r="J161" s="94">
        <f t="shared" si="103"/>
        <v>4.8474720000000007</v>
      </c>
      <c r="K161" s="90">
        <v>50</v>
      </c>
      <c r="L161" s="90">
        <f t="shared" si="104"/>
        <v>242.37360000000004</v>
      </c>
      <c r="M161" s="90">
        <v>0.1</v>
      </c>
      <c r="N161" s="90">
        <f t="shared" si="101"/>
        <v>40.395600000000009</v>
      </c>
      <c r="O161" s="90">
        <f t="shared" si="102"/>
        <v>282.76920000000007</v>
      </c>
      <c r="P161" s="92"/>
      <c r="Q161" s="110"/>
    </row>
    <row r="162" spans="1:17" x14ac:dyDescent="0.25">
      <c r="A162" s="41">
        <f>IF(G162&lt;&gt;"",1+MAX($A$13:A161),"")</f>
        <v>94</v>
      </c>
      <c r="C162" s="89" t="s">
        <v>274</v>
      </c>
      <c r="D162" s="96" t="s">
        <v>152</v>
      </c>
      <c r="E162" s="100">
        <f>E156*G156</f>
        <v>1923.6000000000001</v>
      </c>
      <c r="F162" s="91">
        <f>VLOOKUP(H162,'PROJECT SUMMARY'!$C$24:$D$31,2,0)</f>
        <v>0.05</v>
      </c>
      <c r="G162" s="95">
        <f t="shared" si="98"/>
        <v>2019.7800000000002</v>
      </c>
      <c r="H162" s="89" t="s">
        <v>11</v>
      </c>
      <c r="I162" s="93">
        <v>1.0999999999999999E-2</v>
      </c>
      <c r="J162" s="94">
        <f t="shared" si="103"/>
        <v>22.217580000000002</v>
      </c>
      <c r="K162" s="90">
        <v>50</v>
      </c>
      <c r="L162" s="90">
        <f t="shared" si="104"/>
        <v>1110.8790000000001</v>
      </c>
      <c r="M162" s="90">
        <v>0.86</v>
      </c>
      <c r="N162" s="90">
        <f t="shared" si="101"/>
        <v>1737.0108000000002</v>
      </c>
      <c r="O162" s="90">
        <f t="shared" si="102"/>
        <v>2847.8898000000004</v>
      </c>
      <c r="P162" s="92"/>
      <c r="Q162" s="110"/>
    </row>
    <row r="163" spans="1:17" x14ac:dyDescent="0.25">
      <c r="A163" s="41">
        <f>IF(G163&lt;&gt;"",1+MAX($A$13:A162),"")</f>
        <v>95</v>
      </c>
      <c r="C163" s="89" t="s">
        <v>274</v>
      </c>
      <c r="D163" s="96" t="s">
        <v>153</v>
      </c>
      <c r="E163" s="100">
        <f>E156*G156*1/32</f>
        <v>60.112500000000004</v>
      </c>
      <c r="F163" s="91">
        <f>VLOOKUP(H163,'PROJECT SUMMARY'!$C$24:$D$31,2,0)</f>
        <v>0</v>
      </c>
      <c r="G163" s="95">
        <f t="shared" si="98"/>
        <v>60.112500000000004</v>
      </c>
      <c r="H163" s="89" t="s">
        <v>9</v>
      </c>
      <c r="I163" s="93">
        <v>0.48</v>
      </c>
      <c r="J163" s="94">
        <f t="shared" si="103"/>
        <v>28.853999999999999</v>
      </c>
      <c r="K163" s="90">
        <v>50</v>
      </c>
      <c r="L163" s="90">
        <f t="shared" si="104"/>
        <v>1442.7</v>
      </c>
      <c r="M163" s="90">
        <v>29.12</v>
      </c>
      <c r="N163" s="90">
        <f t="shared" si="101"/>
        <v>1750.4760000000001</v>
      </c>
      <c r="O163" s="90">
        <f t="shared" si="102"/>
        <v>3193.1760000000004</v>
      </c>
      <c r="P163" s="92"/>
      <c r="Q163" s="110"/>
    </row>
    <row r="164" spans="1:17" x14ac:dyDescent="0.25">
      <c r="A164" s="41">
        <f>IF(G164&lt;&gt;"",1+MAX($A$13:A163),"")</f>
        <v>96</v>
      </c>
      <c r="C164" s="89" t="s">
        <v>274</v>
      </c>
      <c r="D164" s="96" t="s">
        <v>154</v>
      </c>
      <c r="E164" s="100">
        <f>E156*G156*2</f>
        <v>3847.2000000000003</v>
      </c>
      <c r="F164" s="91">
        <f>VLOOKUP(H164,'PROJECT SUMMARY'!$C$24:$D$31,2,0)</f>
        <v>0.05</v>
      </c>
      <c r="G164" s="95">
        <f t="shared" si="98"/>
        <v>4039.5600000000004</v>
      </c>
      <c r="H164" s="89" t="s">
        <v>11</v>
      </c>
      <c r="I164" s="93">
        <v>4.0000000000000001E-3</v>
      </c>
      <c r="J164" s="94">
        <f t="shared" si="103"/>
        <v>16.158240000000003</v>
      </c>
      <c r="K164" s="90">
        <v>50</v>
      </c>
      <c r="L164" s="90">
        <f t="shared" si="104"/>
        <v>807.91200000000015</v>
      </c>
      <c r="M164" s="90">
        <v>0.26</v>
      </c>
      <c r="N164" s="90">
        <f t="shared" si="101"/>
        <v>1050.2856000000002</v>
      </c>
      <c r="O164" s="90">
        <f t="shared" si="102"/>
        <v>1858.1976000000004</v>
      </c>
      <c r="P164" s="92"/>
      <c r="Q164" s="110"/>
    </row>
    <row r="165" spans="1:17" x14ac:dyDescent="0.25">
      <c r="A165" s="41">
        <f>IF(G165&lt;&gt;"",1+MAX($A$13:A164),"")</f>
        <v>97</v>
      </c>
      <c r="C165" s="89" t="s">
        <v>274</v>
      </c>
      <c r="D165" s="96" t="s">
        <v>92</v>
      </c>
      <c r="E165" s="100">
        <f>E156*G156</f>
        <v>1923.6000000000001</v>
      </c>
      <c r="F165" s="91">
        <f>VLOOKUP(H165,'PROJECT SUMMARY'!$C$24:$D$31,2,0)</f>
        <v>0.05</v>
      </c>
      <c r="G165" s="95">
        <f t="shared" si="98"/>
        <v>2019.7800000000002</v>
      </c>
      <c r="H165" s="89" t="s">
        <v>11</v>
      </c>
      <c r="I165" s="93">
        <v>6.0000000000000001E-3</v>
      </c>
      <c r="J165" s="94">
        <f t="shared" si="103"/>
        <v>12.118680000000001</v>
      </c>
      <c r="K165" s="90">
        <v>50</v>
      </c>
      <c r="L165" s="90">
        <f t="shared" si="104"/>
        <v>605.93400000000008</v>
      </c>
      <c r="M165" s="90">
        <v>0.38</v>
      </c>
      <c r="N165" s="90">
        <f t="shared" si="101"/>
        <v>767.51640000000009</v>
      </c>
      <c r="O165" s="90">
        <f t="shared" si="102"/>
        <v>1373.4504000000002</v>
      </c>
      <c r="P165" s="92"/>
      <c r="Q165" s="110"/>
    </row>
    <row r="166" spans="1:17" x14ac:dyDescent="0.25">
      <c r="A166" s="41" t="str">
        <f>IF(G166&lt;&gt;"",1+MAX($A$13:A165),"")</f>
        <v/>
      </c>
      <c r="D166" s="105"/>
      <c r="E166"/>
      <c r="I166" s="93"/>
      <c r="J166" s="94"/>
      <c r="K166" s="104"/>
      <c r="P166" s="92"/>
      <c r="Q166" s="110"/>
    </row>
    <row r="167" spans="1:17" x14ac:dyDescent="0.25">
      <c r="A167" s="41">
        <f>IF(G167&lt;&gt;"",1+MAX($A$13:A166),"")</f>
        <v>98</v>
      </c>
      <c r="D167" s="107" t="s">
        <v>156</v>
      </c>
      <c r="E167" s="108">
        <v>13.3</v>
      </c>
      <c r="F167" s="109" t="s">
        <v>10</v>
      </c>
      <c r="G167" s="110">
        <v>10</v>
      </c>
      <c r="H167" s="111" t="s">
        <v>146</v>
      </c>
      <c r="I167" s="93"/>
      <c r="J167" s="94"/>
      <c r="K167" s="104"/>
      <c r="P167" s="92"/>
    </row>
    <row r="168" spans="1:17" x14ac:dyDescent="0.25">
      <c r="A168" s="41">
        <f>IF(G168&lt;&gt;"",1+MAX($A$13:A167),"")</f>
        <v>99</v>
      </c>
      <c r="C168" s="89" t="s">
        <v>274</v>
      </c>
      <c r="D168" s="96" t="s">
        <v>147</v>
      </c>
      <c r="E168" s="100">
        <f>E167*G167*1/32</f>
        <v>4.15625</v>
      </c>
      <c r="F168" s="91">
        <f>VLOOKUP(H168,'PROJECT SUMMARY'!$C$24:$D$31,2,0)</f>
        <v>0</v>
      </c>
      <c r="G168" s="95">
        <f t="shared" ref="G168:G176" si="105">E168*(1+F168)</f>
        <v>4.15625</v>
      </c>
      <c r="H168" s="89" t="s">
        <v>9</v>
      </c>
      <c r="I168" s="93">
        <v>0.38</v>
      </c>
      <c r="J168" s="94">
        <f t="shared" ref="J168" si="106">I168*G168</f>
        <v>1.579375</v>
      </c>
      <c r="K168" s="90">
        <v>50</v>
      </c>
      <c r="L168" s="90">
        <f t="shared" ref="L168" si="107">K168*J168</f>
        <v>78.96875</v>
      </c>
      <c r="M168" s="90">
        <v>14.08</v>
      </c>
      <c r="N168" s="90">
        <f t="shared" ref="N168:N176" si="108">M168*G168</f>
        <v>58.52</v>
      </c>
      <c r="O168" s="90">
        <f t="shared" ref="O168:O176" si="109">L168+N168</f>
        <v>137.48875000000001</v>
      </c>
      <c r="P168" s="92"/>
    </row>
    <row r="169" spans="1:17" x14ac:dyDescent="0.25">
      <c r="A169" s="41">
        <f>IF(G169&lt;&gt;"",1+MAX($A$13:A168),"")</f>
        <v>100</v>
      </c>
      <c r="C169" s="89" t="s">
        <v>274</v>
      </c>
      <c r="D169" s="96" t="s">
        <v>148</v>
      </c>
      <c r="E169" s="100">
        <f>E167/1.33</f>
        <v>10</v>
      </c>
      <c r="F169" s="91">
        <f>VLOOKUP(H169,'PROJECT SUMMARY'!$C$24:$D$31,2,0)</f>
        <v>0</v>
      </c>
      <c r="G169" s="95">
        <f t="shared" si="105"/>
        <v>10</v>
      </c>
      <c r="H169" s="89" t="s">
        <v>9</v>
      </c>
      <c r="I169" s="93">
        <v>0.38</v>
      </c>
      <c r="J169" s="94">
        <f t="shared" ref="J169:J176" si="110">I169*G169</f>
        <v>3.8</v>
      </c>
      <c r="K169" s="90">
        <v>50</v>
      </c>
      <c r="L169" s="90">
        <f t="shared" ref="L169:L176" si="111">K169*J169</f>
        <v>190</v>
      </c>
      <c r="M169" s="90">
        <v>14.1</v>
      </c>
      <c r="N169" s="90">
        <f t="shared" si="108"/>
        <v>141</v>
      </c>
      <c r="O169" s="90">
        <f t="shared" si="109"/>
        <v>331</v>
      </c>
      <c r="P169" s="92"/>
      <c r="Q169" s="110"/>
    </row>
    <row r="170" spans="1:17" x14ac:dyDescent="0.25">
      <c r="A170" s="41">
        <f>IF(G170&lt;&gt;"",1+MAX($A$13:A169),"")</f>
        <v>101</v>
      </c>
      <c r="C170" s="89" t="s">
        <v>274</v>
      </c>
      <c r="D170" s="96" t="s">
        <v>149</v>
      </c>
      <c r="E170" s="100">
        <f>E167*2</f>
        <v>26.6</v>
      </c>
      <c r="F170" s="91">
        <f>VLOOKUP(H170,'PROJECT SUMMARY'!$C$24:$D$31,2,0)</f>
        <v>0.05</v>
      </c>
      <c r="G170" s="95">
        <f t="shared" si="105"/>
        <v>27.930000000000003</v>
      </c>
      <c r="H170" s="89" t="s">
        <v>10</v>
      </c>
      <c r="I170" s="93">
        <v>3.7999999999999999E-2</v>
      </c>
      <c r="J170" s="94">
        <f t="shared" si="110"/>
        <v>1.0613400000000002</v>
      </c>
      <c r="K170" s="90">
        <v>50</v>
      </c>
      <c r="L170" s="90">
        <f t="shared" si="111"/>
        <v>53.067000000000007</v>
      </c>
      <c r="M170" s="90">
        <v>1.41</v>
      </c>
      <c r="N170" s="90">
        <f t="shared" si="108"/>
        <v>39.381300000000003</v>
      </c>
      <c r="O170" s="90">
        <f t="shared" si="109"/>
        <v>92.448300000000017</v>
      </c>
      <c r="P170" s="92"/>
      <c r="Q170" s="110"/>
    </row>
    <row r="171" spans="1:17" x14ac:dyDescent="0.25">
      <c r="A171" s="41">
        <f>IF(G171&lt;&gt;"",1+MAX($A$13:A170),"")</f>
        <v>102</v>
      </c>
      <c r="C171" s="89" t="s">
        <v>274</v>
      </c>
      <c r="D171" s="96" t="s">
        <v>150</v>
      </c>
      <c r="E171" s="100">
        <f>E167</f>
        <v>13.3</v>
      </c>
      <c r="F171" s="91">
        <f>VLOOKUP(H171,'PROJECT SUMMARY'!$C$24:$D$31,2,0)</f>
        <v>0.05</v>
      </c>
      <c r="G171" s="95">
        <f t="shared" si="105"/>
        <v>13.965000000000002</v>
      </c>
      <c r="H171" s="89" t="s">
        <v>10</v>
      </c>
      <c r="I171" s="93">
        <v>3.7999999999999999E-2</v>
      </c>
      <c r="J171" s="94">
        <f t="shared" si="110"/>
        <v>0.53067000000000009</v>
      </c>
      <c r="K171" s="90">
        <v>50</v>
      </c>
      <c r="L171" s="90">
        <f t="shared" si="111"/>
        <v>26.533500000000004</v>
      </c>
      <c r="M171" s="90">
        <v>1.41</v>
      </c>
      <c r="N171" s="90">
        <f t="shared" si="108"/>
        <v>19.690650000000002</v>
      </c>
      <c r="O171" s="90">
        <f t="shared" si="109"/>
        <v>46.224150000000009</v>
      </c>
      <c r="P171" s="92"/>
      <c r="Q171" s="110"/>
    </row>
    <row r="172" spans="1:17" x14ac:dyDescent="0.25">
      <c r="A172" s="41">
        <f>IF(G172&lt;&gt;"",1+MAX($A$13:A171),"")</f>
        <v>103</v>
      </c>
      <c r="C172" s="89" t="s">
        <v>274</v>
      </c>
      <c r="D172" s="96" t="s">
        <v>151</v>
      </c>
      <c r="E172" s="100">
        <f>E167*2</f>
        <v>26.6</v>
      </c>
      <c r="F172" s="91">
        <f>VLOOKUP(H172,'PROJECT SUMMARY'!$C$24:$D$31,2,0)</f>
        <v>0.05</v>
      </c>
      <c r="G172" s="95">
        <f t="shared" si="105"/>
        <v>27.930000000000003</v>
      </c>
      <c r="H172" s="89" t="s">
        <v>10</v>
      </c>
      <c r="I172" s="93">
        <v>1.2E-2</v>
      </c>
      <c r="J172" s="94">
        <f t="shared" si="110"/>
        <v>0.33516000000000007</v>
      </c>
      <c r="K172" s="90">
        <v>50</v>
      </c>
      <c r="L172" s="90">
        <f t="shared" si="111"/>
        <v>16.758000000000003</v>
      </c>
      <c r="M172" s="90">
        <v>0.1</v>
      </c>
      <c r="N172" s="90">
        <f t="shared" si="108"/>
        <v>2.7930000000000006</v>
      </c>
      <c r="O172" s="90">
        <f t="shared" si="109"/>
        <v>19.551000000000002</v>
      </c>
      <c r="P172" s="92"/>
      <c r="Q172" s="110"/>
    </row>
    <row r="173" spans="1:17" x14ac:dyDescent="0.25">
      <c r="A173" s="41">
        <f>IF(G173&lt;&gt;"",1+MAX($A$13:A172),"")</f>
        <v>104</v>
      </c>
      <c r="C173" s="89" t="s">
        <v>274</v>
      </c>
      <c r="D173" s="96" t="s">
        <v>152</v>
      </c>
      <c r="E173" s="100">
        <f>E167*G167</f>
        <v>133</v>
      </c>
      <c r="F173" s="91">
        <f>VLOOKUP(H173,'PROJECT SUMMARY'!$C$24:$D$31,2,0)</f>
        <v>0.05</v>
      </c>
      <c r="G173" s="95">
        <f t="shared" si="105"/>
        <v>139.65</v>
      </c>
      <c r="H173" s="89" t="s">
        <v>11</v>
      </c>
      <c r="I173" s="93">
        <v>1.0999999999999999E-2</v>
      </c>
      <c r="J173" s="94">
        <f t="shared" si="110"/>
        <v>1.5361499999999999</v>
      </c>
      <c r="K173" s="90">
        <v>50</v>
      </c>
      <c r="L173" s="90">
        <f t="shared" si="111"/>
        <v>76.80749999999999</v>
      </c>
      <c r="M173" s="90">
        <v>0.86</v>
      </c>
      <c r="N173" s="90">
        <f t="shared" si="108"/>
        <v>120.099</v>
      </c>
      <c r="O173" s="90">
        <f t="shared" si="109"/>
        <v>196.90649999999999</v>
      </c>
      <c r="P173" s="92"/>
      <c r="Q173" s="110"/>
    </row>
    <row r="174" spans="1:17" x14ac:dyDescent="0.25">
      <c r="A174" s="41">
        <f>IF(G174&lt;&gt;"",1+MAX($A$13:A173),"")</f>
        <v>105</v>
      </c>
      <c r="C174" s="89" t="s">
        <v>274</v>
      </c>
      <c r="D174" s="96" t="s">
        <v>153</v>
      </c>
      <c r="E174" s="100">
        <f>E167*G167*1/32</f>
        <v>4.15625</v>
      </c>
      <c r="F174" s="91">
        <f>VLOOKUP(H174,'PROJECT SUMMARY'!$C$24:$D$31,2,0)</f>
        <v>0</v>
      </c>
      <c r="G174" s="95">
        <f t="shared" si="105"/>
        <v>4.15625</v>
      </c>
      <c r="H174" s="89" t="s">
        <v>9</v>
      </c>
      <c r="I174" s="93">
        <v>0.48</v>
      </c>
      <c r="J174" s="94">
        <f t="shared" si="110"/>
        <v>1.9949999999999999</v>
      </c>
      <c r="K174" s="90">
        <v>50</v>
      </c>
      <c r="L174" s="90">
        <f t="shared" si="111"/>
        <v>99.75</v>
      </c>
      <c r="M174" s="90">
        <v>29.12</v>
      </c>
      <c r="N174" s="90">
        <f t="shared" si="108"/>
        <v>121.03</v>
      </c>
      <c r="O174" s="90">
        <f t="shared" si="109"/>
        <v>220.78</v>
      </c>
      <c r="P174" s="92"/>
      <c r="Q174" s="110"/>
    </row>
    <row r="175" spans="1:17" x14ac:dyDescent="0.25">
      <c r="A175" s="41">
        <f>IF(G175&lt;&gt;"",1+MAX($A$13:A174),"")</f>
        <v>106</v>
      </c>
      <c r="C175" s="89" t="s">
        <v>274</v>
      </c>
      <c r="D175" s="96" t="s">
        <v>154</v>
      </c>
      <c r="E175" s="100">
        <f>E167*G167*2</f>
        <v>266</v>
      </c>
      <c r="F175" s="91">
        <f>VLOOKUP(H175,'PROJECT SUMMARY'!$C$24:$D$31,2,0)</f>
        <v>0.05</v>
      </c>
      <c r="G175" s="95">
        <f t="shared" si="105"/>
        <v>279.3</v>
      </c>
      <c r="H175" s="89" t="s">
        <v>11</v>
      </c>
      <c r="I175" s="93">
        <v>4.0000000000000001E-3</v>
      </c>
      <c r="J175" s="94">
        <f t="shared" si="110"/>
        <v>1.1172</v>
      </c>
      <c r="K175" s="90">
        <v>50</v>
      </c>
      <c r="L175" s="90">
        <f t="shared" si="111"/>
        <v>55.86</v>
      </c>
      <c r="M175" s="90">
        <v>0.26</v>
      </c>
      <c r="N175" s="90">
        <f t="shared" si="108"/>
        <v>72.618000000000009</v>
      </c>
      <c r="O175" s="90">
        <f t="shared" si="109"/>
        <v>128.47800000000001</v>
      </c>
      <c r="P175" s="92"/>
      <c r="Q175" s="110"/>
    </row>
    <row r="176" spans="1:17" x14ac:dyDescent="0.25">
      <c r="A176" s="41">
        <f>IF(G176&lt;&gt;"",1+MAX($A$13:A175),"")</f>
        <v>107</v>
      </c>
      <c r="C176" s="89" t="s">
        <v>274</v>
      </c>
      <c r="D176" s="96" t="s">
        <v>92</v>
      </c>
      <c r="E176" s="100">
        <f>E167*G167</f>
        <v>133</v>
      </c>
      <c r="F176" s="91">
        <f>VLOOKUP(H176,'PROJECT SUMMARY'!$C$24:$D$31,2,0)</f>
        <v>0.05</v>
      </c>
      <c r="G176" s="95">
        <f t="shared" si="105"/>
        <v>139.65</v>
      </c>
      <c r="H176" s="89" t="s">
        <v>11</v>
      </c>
      <c r="I176" s="93">
        <v>6.0000000000000001E-3</v>
      </c>
      <c r="J176" s="94">
        <f t="shared" si="110"/>
        <v>0.83790000000000009</v>
      </c>
      <c r="K176" s="90">
        <v>50</v>
      </c>
      <c r="L176" s="90">
        <f t="shared" si="111"/>
        <v>41.895000000000003</v>
      </c>
      <c r="M176" s="90">
        <v>0.38</v>
      </c>
      <c r="N176" s="90">
        <f t="shared" si="108"/>
        <v>53.067</v>
      </c>
      <c r="O176" s="90">
        <f t="shared" si="109"/>
        <v>94.962000000000003</v>
      </c>
      <c r="P176" s="92"/>
    </row>
    <row r="177" spans="1:17" x14ac:dyDescent="0.25">
      <c r="A177" s="41" t="str">
        <f>IF(G177&lt;&gt;"",1+MAX($A$13:A176),"")</f>
        <v/>
      </c>
      <c r="D177" s="105"/>
      <c r="E177"/>
      <c r="I177" s="93"/>
      <c r="J177" s="94"/>
      <c r="K177" s="104"/>
      <c r="P177" s="92"/>
    </row>
    <row r="178" spans="1:17" x14ac:dyDescent="0.25">
      <c r="A178" s="41">
        <f>IF(G178&lt;&gt;"",1+MAX($A$13:A177),"")</f>
        <v>108</v>
      </c>
      <c r="D178" s="107" t="s">
        <v>157</v>
      </c>
      <c r="E178" s="108">
        <v>5</v>
      </c>
      <c r="F178" s="109" t="s">
        <v>10</v>
      </c>
      <c r="G178" s="110">
        <v>14</v>
      </c>
      <c r="H178" s="111" t="s">
        <v>146</v>
      </c>
      <c r="I178" s="93"/>
      <c r="J178" s="94"/>
      <c r="K178" s="104"/>
      <c r="P178" s="92"/>
    </row>
    <row r="179" spans="1:17" x14ac:dyDescent="0.25">
      <c r="A179" s="41">
        <f>IF(G179&lt;&gt;"",1+MAX($A$13:A178),"")</f>
        <v>109</v>
      </c>
      <c r="C179" s="89" t="s">
        <v>274</v>
      </c>
      <c r="D179" s="96" t="s">
        <v>147</v>
      </c>
      <c r="E179" s="100">
        <f>E178*G178*1/32</f>
        <v>2.1875</v>
      </c>
      <c r="F179" s="91">
        <f>VLOOKUP(H179,'PROJECT SUMMARY'!$C$24:$D$31,2,0)</f>
        <v>0</v>
      </c>
      <c r="G179" s="95">
        <f t="shared" ref="G179:G187" si="112">E179*(1+F179)</f>
        <v>2.1875</v>
      </c>
      <c r="H179" s="89" t="s">
        <v>9</v>
      </c>
      <c r="I179" s="93">
        <v>0.38</v>
      </c>
      <c r="J179" s="94">
        <f t="shared" ref="J179" si="113">I179*G179</f>
        <v>0.83125000000000004</v>
      </c>
      <c r="K179" s="90">
        <v>50</v>
      </c>
      <c r="L179" s="90">
        <f t="shared" ref="L179" si="114">K179*J179</f>
        <v>41.5625</v>
      </c>
      <c r="M179" s="90">
        <v>14.08</v>
      </c>
      <c r="N179" s="90">
        <f t="shared" ref="N179:N187" si="115">M179*G179</f>
        <v>30.8</v>
      </c>
      <c r="O179" s="90">
        <f t="shared" ref="O179:O187" si="116">L179+N179</f>
        <v>72.362499999999997</v>
      </c>
      <c r="P179" s="92"/>
      <c r="Q179" s="110"/>
    </row>
    <row r="180" spans="1:17" x14ac:dyDescent="0.25">
      <c r="A180" s="41">
        <f>IF(G180&lt;&gt;"",1+MAX($A$13:A179),"")</f>
        <v>110</v>
      </c>
      <c r="C180" s="89" t="s">
        <v>274</v>
      </c>
      <c r="D180" s="96" t="s">
        <v>148</v>
      </c>
      <c r="E180" s="100">
        <f>E178/1.33</f>
        <v>3.7593984962406015</v>
      </c>
      <c r="F180" s="91">
        <f>VLOOKUP(H180,'PROJECT SUMMARY'!$C$24:$D$31,2,0)</f>
        <v>0</v>
      </c>
      <c r="G180" s="95">
        <f t="shared" si="112"/>
        <v>3.7593984962406015</v>
      </c>
      <c r="H180" s="89" t="s">
        <v>9</v>
      </c>
      <c r="I180" s="93">
        <v>0.53200000000000003</v>
      </c>
      <c r="J180" s="94">
        <f t="shared" ref="J180:J187" si="117">I180*G180</f>
        <v>2</v>
      </c>
      <c r="K180" s="90">
        <v>50</v>
      </c>
      <c r="L180" s="90">
        <f t="shared" ref="L180:L187" si="118">K180*J180</f>
        <v>100</v>
      </c>
      <c r="M180" s="90">
        <v>19.739999999999998</v>
      </c>
      <c r="N180" s="90">
        <f t="shared" si="115"/>
        <v>74.210526315789465</v>
      </c>
      <c r="O180" s="90">
        <f t="shared" si="116"/>
        <v>174.21052631578948</v>
      </c>
      <c r="P180" s="92"/>
      <c r="Q180" s="110"/>
    </row>
    <row r="181" spans="1:17" x14ac:dyDescent="0.25">
      <c r="A181" s="41">
        <f>IF(G181&lt;&gt;"",1+MAX($A$13:A180),"")</f>
        <v>111</v>
      </c>
      <c r="C181" s="89" t="s">
        <v>274</v>
      </c>
      <c r="D181" s="96" t="s">
        <v>149</v>
      </c>
      <c r="E181" s="100">
        <f>E178*2</f>
        <v>10</v>
      </c>
      <c r="F181" s="91">
        <f>VLOOKUP(H181,'PROJECT SUMMARY'!$C$24:$D$31,2,0)</f>
        <v>0.05</v>
      </c>
      <c r="G181" s="95">
        <f t="shared" si="112"/>
        <v>10.5</v>
      </c>
      <c r="H181" s="89" t="s">
        <v>10</v>
      </c>
      <c r="I181" s="93">
        <v>3.7999999999999999E-2</v>
      </c>
      <c r="J181" s="94">
        <f t="shared" si="117"/>
        <v>0.39899999999999997</v>
      </c>
      <c r="K181" s="90">
        <v>50</v>
      </c>
      <c r="L181" s="90">
        <f t="shared" si="118"/>
        <v>19.95</v>
      </c>
      <c r="M181" s="90">
        <v>1.41</v>
      </c>
      <c r="N181" s="90">
        <f t="shared" si="115"/>
        <v>14.805</v>
      </c>
      <c r="O181" s="90">
        <f t="shared" si="116"/>
        <v>34.754999999999995</v>
      </c>
      <c r="P181" s="92"/>
      <c r="Q181" s="110"/>
    </row>
    <row r="182" spans="1:17" x14ac:dyDescent="0.25">
      <c r="A182" s="41">
        <f>IF(G182&lt;&gt;"",1+MAX($A$13:A181),"")</f>
        <v>112</v>
      </c>
      <c r="C182" s="89" t="s">
        <v>274</v>
      </c>
      <c r="D182" s="96" t="s">
        <v>150</v>
      </c>
      <c r="E182" s="100">
        <f>E178</f>
        <v>5</v>
      </c>
      <c r="F182" s="91">
        <f>VLOOKUP(H182,'PROJECT SUMMARY'!$C$24:$D$31,2,0)</f>
        <v>0.05</v>
      </c>
      <c r="G182" s="95">
        <f t="shared" si="112"/>
        <v>5.25</v>
      </c>
      <c r="H182" s="89" t="s">
        <v>10</v>
      </c>
      <c r="I182" s="93">
        <v>3.7999999999999999E-2</v>
      </c>
      <c r="J182" s="94">
        <f t="shared" si="117"/>
        <v>0.19949999999999998</v>
      </c>
      <c r="K182" s="90">
        <v>50</v>
      </c>
      <c r="L182" s="90">
        <f t="shared" si="118"/>
        <v>9.9749999999999996</v>
      </c>
      <c r="M182" s="90">
        <v>1.41</v>
      </c>
      <c r="N182" s="90">
        <f t="shared" si="115"/>
        <v>7.4024999999999999</v>
      </c>
      <c r="O182" s="90">
        <f t="shared" si="116"/>
        <v>17.377499999999998</v>
      </c>
      <c r="P182" s="92"/>
      <c r="Q182" s="110"/>
    </row>
    <row r="183" spans="1:17" x14ac:dyDescent="0.25">
      <c r="A183" s="41">
        <f>IF(G183&lt;&gt;"",1+MAX($A$13:A182),"")</f>
        <v>113</v>
      </c>
      <c r="C183" s="89" t="s">
        <v>274</v>
      </c>
      <c r="D183" s="96" t="s">
        <v>151</v>
      </c>
      <c r="E183" s="100">
        <f>E178*2</f>
        <v>10</v>
      </c>
      <c r="F183" s="91">
        <f>VLOOKUP(H183,'PROJECT SUMMARY'!$C$24:$D$31,2,0)</f>
        <v>0.05</v>
      </c>
      <c r="G183" s="95">
        <f t="shared" si="112"/>
        <v>10.5</v>
      </c>
      <c r="H183" s="89" t="s">
        <v>10</v>
      </c>
      <c r="I183" s="93">
        <v>1.2E-2</v>
      </c>
      <c r="J183" s="94">
        <f t="shared" si="117"/>
        <v>0.126</v>
      </c>
      <c r="K183" s="90">
        <v>50</v>
      </c>
      <c r="L183" s="90">
        <f t="shared" si="118"/>
        <v>6.3</v>
      </c>
      <c r="M183" s="90">
        <v>0.1</v>
      </c>
      <c r="N183" s="90">
        <f t="shared" si="115"/>
        <v>1.05</v>
      </c>
      <c r="O183" s="90">
        <f t="shared" si="116"/>
        <v>7.35</v>
      </c>
      <c r="P183" s="92"/>
      <c r="Q183" s="110"/>
    </row>
    <row r="184" spans="1:17" x14ac:dyDescent="0.25">
      <c r="A184" s="41">
        <f>IF(G184&lt;&gt;"",1+MAX($A$13:A183),"")</f>
        <v>114</v>
      </c>
      <c r="C184" s="89" t="s">
        <v>274</v>
      </c>
      <c r="D184" s="96" t="s">
        <v>152</v>
      </c>
      <c r="E184" s="100">
        <f>E178*G178</f>
        <v>70</v>
      </c>
      <c r="F184" s="91">
        <f>VLOOKUP(H184,'PROJECT SUMMARY'!$C$24:$D$31,2,0)</f>
        <v>0.05</v>
      </c>
      <c r="G184" s="95">
        <f t="shared" si="112"/>
        <v>73.5</v>
      </c>
      <c r="H184" s="89" t="s">
        <v>11</v>
      </c>
      <c r="I184" s="93">
        <v>1.0999999999999999E-2</v>
      </c>
      <c r="J184" s="94">
        <f t="shared" si="117"/>
        <v>0.8085</v>
      </c>
      <c r="K184" s="90">
        <v>50</v>
      </c>
      <c r="L184" s="90">
        <f t="shared" si="118"/>
        <v>40.424999999999997</v>
      </c>
      <c r="M184" s="90">
        <v>0.86</v>
      </c>
      <c r="N184" s="90">
        <f t="shared" si="115"/>
        <v>63.21</v>
      </c>
      <c r="O184" s="90">
        <f t="shared" si="116"/>
        <v>103.63499999999999</v>
      </c>
      <c r="P184" s="92"/>
      <c r="Q184" s="110"/>
    </row>
    <row r="185" spans="1:17" x14ac:dyDescent="0.25">
      <c r="A185" s="41">
        <f>IF(G185&lt;&gt;"",1+MAX($A$13:A184),"")</f>
        <v>115</v>
      </c>
      <c r="C185" s="89" t="s">
        <v>274</v>
      </c>
      <c r="D185" s="96" t="s">
        <v>153</v>
      </c>
      <c r="E185" s="100">
        <f>E178*G178*1/32</f>
        <v>2.1875</v>
      </c>
      <c r="F185" s="91">
        <f>VLOOKUP(H185,'PROJECT SUMMARY'!$C$24:$D$31,2,0)</f>
        <v>0</v>
      </c>
      <c r="G185" s="95">
        <f t="shared" si="112"/>
        <v>2.1875</v>
      </c>
      <c r="H185" s="89" t="s">
        <v>9</v>
      </c>
      <c r="I185" s="93">
        <v>0.48</v>
      </c>
      <c r="J185" s="94">
        <f t="shared" si="117"/>
        <v>1.05</v>
      </c>
      <c r="K185" s="90">
        <v>50</v>
      </c>
      <c r="L185" s="90">
        <f t="shared" si="118"/>
        <v>52.5</v>
      </c>
      <c r="M185" s="90">
        <v>29.12</v>
      </c>
      <c r="N185" s="90">
        <f t="shared" si="115"/>
        <v>63.7</v>
      </c>
      <c r="O185" s="90">
        <f t="shared" si="116"/>
        <v>116.2</v>
      </c>
      <c r="P185" s="92"/>
      <c r="Q185" s="110"/>
    </row>
    <row r="186" spans="1:17" x14ac:dyDescent="0.25">
      <c r="A186" s="41">
        <f>IF(G186&lt;&gt;"",1+MAX($A$13:A185),"")</f>
        <v>116</v>
      </c>
      <c r="C186" s="89" t="s">
        <v>274</v>
      </c>
      <c r="D186" s="96" t="s">
        <v>154</v>
      </c>
      <c r="E186" s="100">
        <f>E178*G178*2</f>
        <v>140</v>
      </c>
      <c r="F186" s="91">
        <f>VLOOKUP(H186,'PROJECT SUMMARY'!$C$24:$D$31,2,0)</f>
        <v>0.05</v>
      </c>
      <c r="G186" s="95">
        <f t="shared" si="112"/>
        <v>147</v>
      </c>
      <c r="H186" s="89" t="s">
        <v>11</v>
      </c>
      <c r="I186" s="93">
        <v>4.0000000000000001E-3</v>
      </c>
      <c r="J186" s="94">
        <f t="shared" si="117"/>
        <v>0.58799999999999997</v>
      </c>
      <c r="K186" s="90">
        <v>50</v>
      </c>
      <c r="L186" s="90">
        <f t="shared" si="118"/>
        <v>29.4</v>
      </c>
      <c r="M186" s="90">
        <v>0.26</v>
      </c>
      <c r="N186" s="90">
        <f t="shared" si="115"/>
        <v>38.22</v>
      </c>
      <c r="O186" s="90">
        <f t="shared" si="116"/>
        <v>67.62</v>
      </c>
      <c r="P186" s="92"/>
      <c r="Q186" s="110"/>
    </row>
    <row r="187" spans="1:17" x14ac:dyDescent="0.25">
      <c r="A187" s="41">
        <f>IF(G187&lt;&gt;"",1+MAX($A$13:A186),"")</f>
        <v>117</v>
      </c>
      <c r="C187" s="89" t="s">
        <v>274</v>
      </c>
      <c r="D187" s="96" t="s">
        <v>92</v>
      </c>
      <c r="E187" s="100">
        <f>E178*G178</f>
        <v>70</v>
      </c>
      <c r="F187" s="91">
        <f>VLOOKUP(H187,'PROJECT SUMMARY'!$C$24:$D$31,2,0)</f>
        <v>0.05</v>
      </c>
      <c r="G187" s="95">
        <f t="shared" si="112"/>
        <v>73.5</v>
      </c>
      <c r="H187" s="89" t="s">
        <v>11</v>
      </c>
      <c r="I187" s="93">
        <v>6.0000000000000001E-3</v>
      </c>
      <c r="J187" s="94">
        <f t="shared" si="117"/>
        <v>0.441</v>
      </c>
      <c r="K187" s="90">
        <v>50</v>
      </c>
      <c r="L187" s="90">
        <f t="shared" si="118"/>
        <v>22.05</v>
      </c>
      <c r="M187" s="90">
        <v>0.38</v>
      </c>
      <c r="N187" s="90">
        <f t="shared" si="115"/>
        <v>27.93</v>
      </c>
      <c r="O187" s="90">
        <f t="shared" si="116"/>
        <v>49.980000000000004</v>
      </c>
      <c r="P187" s="92"/>
      <c r="Q187" s="110"/>
    </row>
    <row r="188" spans="1:17" x14ac:dyDescent="0.25">
      <c r="A188" s="41" t="str">
        <f>IF(G188&lt;&gt;"",1+MAX($A$13:A187),"")</f>
        <v/>
      </c>
      <c r="D188" s="105"/>
      <c r="E188"/>
      <c r="I188" s="93"/>
      <c r="J188" s="94"/>
      <c r="K188" s="104"/>
      <c r="P188" s="92"/>
    </row>
    <row r="189" spans="1:17" x14ac:dyDescent="0.25">
      <c r="A189" s="41">
        <f>IF(G189&lt;&gt;"",1+MAX($A$13:A188),"")</f>
        <v>118</v>
      </c>
      <c r="D189" s="107" t="s">
        <v>158</v>
      </c>
      <c r="E189" s="108">
        <v>6.84</v>
      </c>
      <c r="F189" s="109" t="s">
        <v>10</v>
      </c>
      <c r="G189" s="110">
        <v>14</v>
      </c>
      <c r="H189" s="111" t="s">
        <v>146</v>
      </c>
      <c r="I189" s="93"/>
      <c r="J189" s="94"/>
      <c r="K189" s="104"/>
      <c r="P189" s="92"/>
    </row>
    <row r="190" spans="1:17" x14ac:dyDescent="0.25">
      <c r="A190" s="41">
        <f>IF(G190&lt;&gt;"",1+MAX($A$13:A189),"")</f>
        <v>119</v>
      </c>
      <c r="C190" s="89" t="s">
        <v>274</v>
      </c>
      <c r="D190" s="96" t="s">
        <v>159</v>
      </c>
      <c r="E190" s="100">
        <f>E189*G189*1/32</f>
        <v>2.9924999999999997</v>
      </c>
      <c r="F190" s="91">
        <f>VLOOKUP(H190,'PROJECT SUMMARY'!$C$24:$D$31,2,0)</f>
        <v>0</v>
      </c>
      <c r="G190" s="95">
        <f t="shared" ref="G190:G195" si="119">E190*(1+F190)</f>
        <v>2.9924999999999997</v>
      </c>
      <c r="H190" s="89" t="s">
        <v>9</v>
      </c>
      <c r="I190" s="93">
        <v>0.48</v>
      </c>
      <c r="J190" s="94">
        <f t="shared" ref="J190" si="120">I190*G190</f>
        <v>1.4363999999999999</v>
      </c>
      <c r="K190" s="90">
        <v>50</v>
      </c>
      <c r="L190" s="90">
        <f t="shared" ref="L190" si="121">K190*J190</f>
        <v>71.819999999999993</v>
      </c>
      <c r="M190" s="90">
        <v>29.12</v>
      </c>
      <c r="N190" s="90">
        <f t="shared" ref="N190:N195" si="122">M190*G190</f>
        <v>87.141599999999997</v>
      </c>
      <c r="O190" s="90">
        <f t="shared" ref="O190:O195" si="123">L190+N190</f>
        <v>158.96159999999998</v>
      </c>
      <c r="P190" s="92"/>
      <c r="Q190" s="110"/>
    </row>
    <row r="191" spans="1:17" x14ac:dyDescent="0.25">
      <c r="A191" s="41">
        <f>IF(G191&lt;&gt;"",1+MAX($A$13:A190),"")</f>
        <v>120</v>
      </c>
      <c r="C191" s="89" t="s">
        <v>274</v>
      </c>
      <c r="D191" s="96" t="s">
        <v>148</v>
      </c>
      <c r="E191" s="100">
        <f>E189/1.33</f>
        <v>5.1428571428571423</v>
      </c>
      <c r="F191" s="91">
        <f>VLOOKUP(H191,'PROJECT SUMMARY'!$C$24:$D$31,2,0)</f>
        <v>0</v>
      </c>
      <c r="G191" s="95">
        <f t="shared" si="119"/>
        <v>5.1428571428571423</v>
      </c>
      <c r="H191" s="89" t="s">
        <v>9</v>
      </c>
      <c r="I191" s="93">
        <v>0.53200000000000003</v>
      </c>
      <c r="J191" s="94">
        <f t="shared" ref="J191:J195" si="124">I191*G191</f>
        <v>2.7359999999999998</v>
      </c>
      <c r="K191" s="90">
        <v>50</v>
      </c>
      <c r="L191" s="90">
        <f t="shared" ref="L191:L195" si="125">K191*J191</f>
        <v>136.79999999999998</v>
      </c>
      <c r="M191" s="90">
        <v>19.739999999999998</v>
      </c>
      <c r="N191" s="90">
        <f t="shared" si="122"/>
        <v>101.51999999999998</v>
      </c>
      <c r="O191" s="90">
        <f t="shared" si="123"/>
        <v>238.31999999999996</v>
      </c>
      <c r="P191" s="92"/>
      <c r="Q191" s="110"/>
    </row>
    <row r="192" spans="1:17" x14ac:dyDescent="0.25">
      <c r="A192" s="41">
        <f>IF(G192&lt;&gt;"",1+MAX($A$13:A191),"")</f>
        <v>121</v>
      </c>
      <c r="C192" s="89" t="s">
        <v>274</v>
      </c>
      <c r="D192" s="96" t="s">
        <v>149</v>
      </c>
      <c r="E192" s="100">
        <f>E189*2</f>
        <v>13.68</v>
      </c>
      <c r="F192" s="91">
        <f>VLOOKUP(H192,'PROJECT SUMMARY'!$C$24:$D$31,2,0)</f>
        <v>0.05</v>
      </c>
      <c r="G192" s="95">
        <f t="shared" si="119"/>
        <v>14.364000000000001</v>
      </c>
      <c r="H192" s="89" t="s">
        <v>10</v>
      </c>
      <c r="I192" s="93">
        <v>3.7999999999999999E-2</v>
      </c>
      <c r="J192" s="94">
        <f t="shared" si="124"/>
        <v>0.54583199999999998</v>
      </c>
      <c r="K192" s="90">
        <v>50</v>
      </c>
      <c r="L192" s="90">
        <f t="shared" si="125"/>
        <v>27.291599999999999</v>
      </c>
      <c r="M192" s="90">
        <v>1.41</v>
      </c>
      <c r="N192" s="90">
        <f t="shared" si="122"/>
        <v>20.253240000000002</v>
      </c>
      <c r="O192" s="90">
        <f t="shared" si="123"/>
        <v>47.544840000000001</v>
      </c>
      <c r="P192" s="92"/>
      <c r="Q192" s="110"/>
    </row>
    <row r="193" spans="1:17" x14ac:dyDescent="0.25">
      <c r="A193" s="41">
        <f>IF(G193&lt;&gt;"",1+MAX($A$13:A192),"")</f>
        <v>122</v>
      </c>
      <c r="C193" s="89" t="s">
        <v>274</v>
      </c>
      <c r="D193" s="96" t="s">
        <v>150</v>
      </c>
      <c r="E193" s="100">
        <f>E189</f>
        <v>6.84</v>
      </c>
      <c r="F193" s="91">
        <f>VLOOKUP(H193,'PROJECT SUMMARY'!$C$24:$D$31,2,0)</f>
        <v>0.05</v>
      </c>
      <c r="G193" s="95">
        <f t="shared" si="119"/>
        <v>7.1820000000000004</v>
      </c>
      <c r="H193" s="89" t="s">
        <v>10</v>
      </c>
      <c r="I193" s="93">
        <v>3.7999999999999999E-2</v>
      </c>
      <c r="J193" s="94">
        <f t="shared" si="124"/>
        <v>0.27291599999999999</v>
      </c>
      <c r="K193" s="90">
        <v>50</v>
      </c>
      <c r="L193" s="90">
        <f t="shared" si="125"/>
        <v>13.645799999999999</v>
      </c>
      <c r="M193" s="90">
        <v>1.41</v>
      </c>
      <c r="N193" s="90">
        <f t="shared" si="122"/>
        <v>10.126620000000001</v>
      </c>
      <c r="O193" s="90">
        <f t="shared" si="123"/>
        <v>23.77242</v>
      </c>
      <c r="P193" s="92"/>
      <c r="Q193" s="110"/>
    </row>
    <row r="194" spans="1:17" x14ac:dyDescent="0.25">
      <c r="A194" s="41">
        <f>IF(G194&lt;&gt;"",1+MAX($A$13:A193),"")</f>
        <v>123</v>
      </c>
      <c r="C194" s="89" t="s">
        <v>274</v>
      </c>
      <c r="D194" s="96" t="s">
        <v>151</v>
      </c>
      <c r="E194" s="100">
        <f>E189*2</f>
        <v>13.68</v>
      </c>
      <c r="F194" s="91">
        <f>VLOOKUP(H194,'PROJECT SUMMARY'!$C$24:$D$31,2,0)</f>
        <v>0.05</v>
      </c>
      <c r="G194" s="95">
        <f t="shared" si="119"/>
        <v>14.364000000000001</v>
      </c>
      <c r="H194" s="89" t="s">
        <v>10</v>
      </c>
      <c r="I194" s="93">
        <v>1.2E-2</v>
      </c>
      <c r="J194" s="94">
        <f t="shared" si="124"/>
        <v>0.17236800000000002</v>
      </c>
      <c r="K194" s="90">
        <v>50</v>
      </c>
      <c r="L194" s="90">
        <f t="shared" si="125"/>
        <v>8.6184000000000012</v>
      </c>
      <c r="M194" s="90">
        <v>0.1</v>
      </c>
      <c r="N194" s="90">
        <f t="shared" si="122"/>
        <v>1.4364000000000001</v>
      </c>
      <c r="O194" s="90">
        <f t="shared" si="123"/>
        <v>10.054800000000002</v>
      </c>
      <c r="P194" s="92"/>
      <c r="Q194" s="110"/>
    </row>
    <row r="195" spans="1:17" x14ac:dyDescent="0.25">
      <c r="A195" s="41">
        <f>IF(G195&lt;&gt;"",1+MAX($A$13:A194),"")</f>
        <v>124</v>
      </c>
      <c r="C195" s="89" t="s">
        <v>274</v>
      </c>
      <c r="D195" s="96" t="s">
        <v>154</v>
      </c>
      <c r="E195" s="100">
        <f>E189*G189*2</f>
        <v>191.51999999999998</v>
      </c>
      <c r="F195" s="91">
        <f>VLOOKUP(H195,'PROJECT SUMMARY'!$C$24:$D$31,2,0)</f>
        <v>0.05</v>
      </c>
      <c r="G195" s="95">
        <f t="shared" si="119"/>
        <v>201.09599999999998</v>
      </c>
      <c r="H195" s="89" t="s">
        <v>11</v>
      </c>
      <c r="I195" s="93">
        <v>4.0000000000000001E-3</v>
      </c>
      <c r="J195" s="94">
        <f t="shared" si="124"/>
        <v>0.80438399999999988</v>
      </c>
      <c r="K195" s="90">
        <v>50</v>
      </c>
      <c r="L195" s="90">
        <f t="shared" si="125"/>
        <v>40.219199999999994</v>
      </c>
      <c r="M195" s="90">
        <v>0.26</v>
      </c>
      <c r="N195" s="90">
        <f t="shared" si="122"/>
        <v>52.284959999999998</v>
      </c>
      <c r="O195" s="90">
        <f t="shared" si="123"/>
        <v>92.504159999999985</v>
      </c>
      <c r="P195" s="92"/>
      <c r="Q195" s="110"/>
    </row>
    <row r="196" spans="1:17" x14ac:dyDescent="0.25">
      <c r="A196" s="41" t="str">
        <f>IF(G196&lt;&gt;"",1+MAX($A$13:A195),"")</f>
        <v/>
      </c>
      <c r="D196" s="96"/>
      <c r="E196" s="100"/>
      <c r="I196" s="93"/>
      <c r="J196" s="94"/>
      <c r="P196" s="92"/>
    </row>
    <row r="197" spans="1:17" x14ac:dyDescent="0.25">
      <c r="A197" s="41">
        <f>IF(G197&lt;&gt;"",1+MAX($A$13:A196),"")</f>
        <v>125</v>
      </c>
      <c r="D197" s="107" t="s">
        <v>160</v>
      </c>
      <c r="E197" s="108">
        <v>62.79</v>
      </c>
      <c r="F197" s="109" t="s">
        <v>10</v>
      </c>
      <c r="G197" s="110">
        <v>10</v>
      </c>
      <c r="H197" s="111" t="s">
        <v>146</v>
      </c>
      <c r="I197" s="93"/>
      <c r="J197" s="94"/>
      <c r="K197" s="104"/>
      <c r="P197" s="92"/>
    </row>
    <row r="198" spans="1:17" x14ac:dyDescent="0.25">
      <c r="A198" s="41">
        <f>IF(G198&lt;&gt;"",1+MAX($A$13:A197),"")</f>
        <v>126</v>
      </c>
      <c r="C198" s="89" t="s">
        <v>274</v>
      </c>
      <c r="D198" s="96" t="s">
        <v>159</v>
      </c>
      <c r="E198" s="100">
        <f>E197*G197*1/32</f>
        <v>19.621874999999999</v>
      </c>
      <c r="F198" s="91">
        <f>VLOOKUP(H198,'PROJECT SUMMARY'!$C$24:$D$31,2,0)</f>
        <v>0</v>
      </c>
      <c r="G198" s="95">
        <f t="shared" ref="G198:G203" si="126">E198*(1+F198)</f>
        <v>19.621874999999999</v>
      </c>
      <c r="H198" s="89" t="s">
        <v>9</v>
      </c>
      <c r="I198" s="93">
        <v>0.48</v>
      </c>
      <c r="J198" s="94">
        <f t="shared" ref="J198" si="127">I198*G198</f>
        <v>9.4184999999999999</v>
      </c>
      <c r="K198" s="90">
        <v>50</v>
      </c>
      <c r="L198" s="90">
        <f t="shared" ref="L198" si="128">K198*J198</f>
        <v>470.92500000000001</v>
      </c>
      <c r="M198" s="90">
        <v>29.12</v>
      </c>
      <c r="N198" s="90">
        <f t="shared" ref="N198:N203" si="129">M198*G198</f>
        <v>571.38900000000001</v>
      </c>
      <c r="O198" s="90">
        <f t="shared" ref="O198:O203" si="130">L198+N198</f>
        <v>1042.3140000000001</v>
      </c>
      <c r="P198" s="92"/>
      <c r="Q198" s="110"/>
    </row>
    <row r="199" spans="1:17" x14ac:dyDescent="0.25">
      <c r="A199" s="41">
        <f>IF(G199&lt;&gt;"",1+MAX($A$13:A198),"")</f>
        <v>127</v>
      </c>
      <c r="C199" s="89" t="s">
        <v>274</v>
      </c>
      <c r="D199" s="96" t="s">
        <v>148</v>
      </c>
      <c r="E199" s="100">
        <f>E197/1.33</f>
        <v>47.210526315789473</v>
      </c>
      <c r="F199" s="91">
        <f>VLOOKUP(H199,'PROJECT SUMMARY'!$C$24:$D$31,2,0)</f>
        <v>0</v>
      </c>
      <c r="G199" s="95">
        <f t="shared" si="126"/>
        <v>47.210526315789473</v>
      </c>
      <c r="H199" s="89" t="s">
        <v>9</v>
      </c>
      <c r="I199" s="93">
        <v>0.38</v>
      </c>
      <c r="J199" s="94">
        <f t="shared" ref="J199:J203" si="131">I199*G199</f>
        <v>17.940000000000001</v>
      </c>
      <c r="K199" s="90">
        <v>50</v>
      </c>
      <c r="L199" s="90">
        <f t="shared" ref="L199:L203" si="132">K199*J199</f>
        <v>897.00000000000011</v>
      </c>
      <c r="M199" s="90">
        <v>14.1</v>
      </c>
      <c r="N199" s="90">
        <f t="shared" si="129"/>
        <v>665.66842105263152</v>
      </c>
      <c r="O199" s="90">
        <f t="shared" si="130"/>
        <v>1562.6684210526316</v>
      </c>
      <c r="P199" s="92"/>
      <c r="Q199" s="110"/>
    </row>
    <row r="200" spans="1:17" x14ac:dyDescent="0.25">
      <c r="A200" s="41">
        <f>IF(G200&lt;&gt;"",1+MAX($A$13:A199),"")</f>
        <v>128</v>
      </c>
      <c r="C200" s="89" t="s">
        <v>274</v>
      </c>
      <c r="D200" s="96" t="s">
        <v>149</v>
      </c>
      <c r="E200" s="100">
        <f>E197*2</f>
        <v>125.58</v>
      </c>
      <c r="F200" s="91">
        <f>VLOOKUP(H200,'PROJECT SUMMARY'!$C$24:$D$31,2,0)</f>
        <v>0.05</v>
      </c>
      <c r="G200" s="95">
        <f t="shared" si="126"/>
        <v>131.85900000000001</v>
      </c>
      <c r="H200" s="89" t="s">
        <v>10</v>
      </c>
      <c r="I200" s="93">
        <v>3.7999999999999999E-2</v>
      </c>
      <c r="J200" s="94">
        <f t="shared" si="131"/>
        <v>5.0106419999999998</v>
      </c>
      <c r="K200" s="90">
        <v>50</v>
      </c>
      <c r="L200" s="90">
        <f t="shared" si="132"/>
        <v>250.53209999999999</v>
      </c>
      <c r="M200" s="90">
        <v>1.41</v>
      </c>
      <c r="N200" s="90">
        <f t="shared" si="129"/>
        <v>185.92119</v>
      </c>
      <c r="O200" s="90">
        <f t="shared" si="130"/>
        <v>436.45328999999998</v>
      </c>
      <c r="P200" s="92"/>
      <c r="Q200" s="110"/>
    </row>
    <row r="201" spans="1:17" x14ac:dyDescent="0.25">
      <c r="A201" s="41">
        <f>IF(G201&lt;&gt;"",1+MAX($A$13:A200),"")</f>
        <v>129</v>
      </c>
      <c r="C201" s="89" t="s">
        <v>274</v>
      </c>
      <c r="D201" s="96" t="s">
        <v>150</v>
      </c>
      <c r="E201" s="100">
        <f>E197</f>
        <v>62.79</v>
      </c>
      <c r="F201" s="91">
        <f>VLOOKUP(H201,'PROJECT SUMMARY'!$C$24:$D$31,2,0)</f>
        <v>0.05</v>
      </c>
      <c r="G201" s="95">
        <f t="shared" si="126"/>
        <v>65.929500000000004</v>
      </c>
      <c r="H201" s="89" t="s">
        <v>10</v>
      </c>
      <c r="I201" s="93">
        <v>3.7999999999999999E-2</v>
      </c>
      <c r="J201" s="94">
        <f t="shared" si="131"/>
        <v>2.5053209999999999</v>
      </c>
      <c r="K201" s="90">
        <v>50</v>
      </c>
      <c r="L201" s="90">
        <f t="shared" si="132"/>
        <v>125.26604999999999</v>
      </c>
      <c r="M201" s="90">
        <v>1.41</v>
      </c>
      <c r="N201" s="90">
        <f t="shared" si="129"/>
        <v>92.960594999999998</v>
      </c>
      <c r="O201" s="90">
        <f t="shared" si="130"/>
        <v>218.22664499999999</v>
      </c>
      <c r="P201" s="92"/>
      <c r="Q201" s="110"/>
    </row>
    <row r="202" spans="1:17" x14ac:dyDescent="0.25">
      <c r="A202" s="41">
        <f>IF(G202&lt;&gt;"",1+MAX($A$13:A201),"")</f>
        <v>130</v>
      </c>
      <c r="C202" s="89" t="s">
        <v>274</v>
      </c>
      <c r="D202" s="96" t="s">
        <v>151</v>
      </c>
      <c r="E202" s="100">
        <f>E197*2</f>
        <v>125.58</v>
      </c>
      <c r="F202" s="91">
        <f>VLOOKUP(H202,'PROJECT SUMMARY'!$C$24:$D$31,2,0)</f>
        <v>0.05</v>
      </c>
      <c r="G202" s="95">
        <f t="shared" si="126"/>
        <v>131.85900000000001</v>
      </c>
      <c r="H202" s="89" t="s">
        <v>10</v>
      </c>
      <c r="I202" s="93">
        <v>1.2E-2</v>
      </c>
      <c r="J202" s="94">
        <f t="shared" si="131"/>
        <v>1.582308</v>
      </c>
      <c r="K202" s="90">
        <v>50</v>
      </c>
      <c r="L202" s="90">
        <f t="shared" si="132"/>
        <v>79.115400000000008</v>
      </c>
      <c r="M202" s="90">
        <v>0.1</v>
      </c>
      <c r="N202" s="90">
        <f t="shared" si="129"/>
        <v>13.185900000000002</v>
      </c>
      <c r="O202" s="90">
        <f t="shared" si="130"/>
        <v>92.301300000000012</v>
      </c>
      <c r="P202" s="92"/>
      <c r="Q202" s="110"/>
    </row>
    <row r="203" spans="1:17" x14ac:dyDescent="0.25">
      <c r="A203" s="41">
        <f>IF(G203&lt;&gt;"",1+MAX($A$13:A202),"")</f>
        <v>131</v>
      </c>
      <c r="C203" s="89" t="s">
        <v>274</v>
      </c>
      <c r="D203" s="96" t="s">
        <v>154</v>
      </c>
      <c r="E203" s="100">
        <f>E197*G197*2</f>
        <v>1255.8</v>
      </c>
      <c r="F203" s="91">
        <f>VLOOKUP(H203,'PROJECT SUMMARY'!$C$24:$D$31,2,0)</f>
        <v>0.05</v>
      </c>
      <c r="G203" s="95">
        <f t="shared" si="126"/>
        <v>1318.59</v>
      </c>
      <c r="H203" s="89" t="s">
        <v>11</v>
      </c>
      <c r="I203" s="93">
        <v>4.0000000000000001E-3</v>
      </c>
      <c r="J203" s="94">
        <f t="shared" si="131"/>
        <v>5.2743599999999997</v>
      </c>
      <c r="K203" s="90">
        <v>50</v>
      </c>
      <c r="L203" s="90">
        <f t="shared" si="132"/>
        <v>263.71799999999996</v>
      </c>
      <c r="M203" s="90">
        <v>0.26</v>
      </c>
      <c r="N203" s="90">
        <f t="shared" si="129"/>
        <v>342.83339999999998</v>
      </c>
      <c r="O203" s="90">
        <f t="shared" si="130"/>
        <v>606.55139999999994</v>
      </c>
      <c r="P203" s="92"/>
      <c r="Q203" s="110"/>
    </row>
    <row r="204" spans="1:17" x14ac:dyDescent="0.25">
      <c r="A204" s="41" t="str">
        <f>IF(G204&lt;&gt;"",1+MAX($A$13:A203),"")</f>
        <v/>
      </c>
      <c r="D204" s="105"/>
      <c r="E204"/>
      <c r="I204" s="93"/>
      <c r="J204" s="94"/>
      <c r="K204" s="104"/>
      <c r="P204" s="92"/>
      <c r="Q204" s="110"/>
    </row>
    <row r="205" spans="1:17" x14ac:dyDescent="0.25">
      <c r="A205" s="41">
        <f>IF(G205&lt;&gt;"",1+MAX($A$13:A204),"")</f>
        <v>132</v>
      </c>
      <c r="D205" s="107" t="s">
        <v>161</v>
      </c>
      <c r="E205" s="108">
        <v>24.72</v>
      </c>
      <c r="F205" s="109" t="s">
        <v>10</v>
      </c>
      <c r="G205" s="110">
        <v>10</v>
      </c>
      <c r="H205" s="111" t="s">
        <v>146</v>
      </c>
      <c r="I205" s="93"/>
      <c r="J205" s="94"/>
      <c r="K205" s="104"/>
      <c r="P205" s="92"/>
    </row>
    <row r="206" spans="1:17" x14ac:dyDescent="0.25">
      <c r="A206" s="41">
        <f>IF(G206&lt;&gt;"",1+MAX($A$13:A205),"")</f>
        <v>133</v>
      </c>
      <c r="C206" s="89" t="s">
        <v>274</v>
      </c>
      <c r="D206" s="96" t="s">
        <v>147</v>
      </c>
      <c r="E206" s="100">
        <f>E205*G205*1/32</f>
        <v>7.7249999999999996</v>
      </c>
      <c r="F206" s="91">
        <f>VLOOKUP(H206,'PROJECT SUMMARY'!$C$24:$D$31,2,0)</f>
        <v>0</v>
      </c>
      <c r="G206" s="95">
        <f t="shared" ref="G206:G212" si="133">E206*(1+F206)</f>
        <v>7.7249999999999996</v>
      </c>
      <c r="H206" s="89" t="s">
        <v>9</v>
      </c>
      <c r="I206" s="93">
        <v>0.38</v>
      </c>
      <c r="J206" s="94">
        <f t="shared" ref="J206" si="134">I206*G206</f>
        <v>2.9354999999999998</v>
      </c>
      <c r="K206" s="90">
        <v>50</v>
      </c>
      <c r="L206" s="90">
        <f t="shared" ref="L206" si="135">K206*J206</f>
        <v>146.77499999999998</v>
      </c>
      <c r="M206" s="90">
        <v>14.08</v>
      </c>
      <c r="N206" s="90">
        <f t="shared" ref="N206:N212" si="136">M206*G206</f>
        <v>108.768</v>
      </c>
      <c r="O206" s="90">
        <f t="shared" ref="O206:O212" si="137">L206+N206</f>
        <v>255.54299999999998</v>
      </c>
      <c r="P206" s="92"/>
      <c r="Q206" s="110"/>
    </row>
    <row r="207" spans="1:17" x14ac:dyDescent="0.25">
      <c r="A207" s="41">
        <f>IF(G207&lt;&gt;"",1+MAX($A$13:A206),"")</f>
        <v>134</v>
      </c>
      <c r="C207" s="89" t="s">
        <v>274</v>
      </c>
      <c r="D207" s="96" t="s">
        <v>162</v>
      </c>
      <c r="E207" s="100">
        <f>E205/1.33</f>
        <v>18.586466165413533</v>
      </c>
      <c r="F207" s="91">
        <f>VLOOKUP(H207,'PROJECT SUMMARY'!$C$24:$D$31,2,0)</f>
        <v>0</v>
      </c>
      <c r="G207" s="95">
        <f t="shared" si="133"/>
        <v>18.586466165413533</v>
      </c>
      <c r="H207" s="89" t="s">
        <v>9</v>
      </c>
      <c r="I207" s="93">
        <v>0.38</v>
      </c>
      <c r="J207" s="94">
        <f t="shared" ref="J207:J212" si="138">I207*G207</f>
        <v>7.0628571428571423</v>
      </c>
      <c r="K207" s="90">
        <v>50</v>
      </c>
      <c r="L207" s="90">
        <f t="shared" ref="L207:L212" si="139">K207*J207</f>
        <v>353.14285714285711</v>
      </c>
      <c r="M207" s="90">
        <v>14.1</v>
      </c>
      <c r="N207" s="90">
        <f t="shared" si="136"/>
        <v>262.06917293233079</v>
      </c>
      <c r="O207" s="90">
        <f t="shared" si="137"/>
        <v>615.21203007518784</v>
      </c>
      <c r="P207" s="92"/>
      <c r="Q207" s="110"/>
    </row>
    <row r="208" spans="1:17" x14ac:dyDescent="0.25">
      <c r="A208" s="41">
        <f>IF(G208&lt;&gt;"",1+MAX($A$13:A207),"")</f>
        <v>135</v>
      </c>
      <c r="C208" s="89" t="s">
        <v>274</v>
      </c>
      <c r="D208" s="96" t="s">
        <v>149</v>
      </c>
      <c r="E208" s="100">
        <f>E205*2</f>
        <v>49.44</v>
      </c>
      <c r="F208" s="91">
        <f>VLOOKUP(H208,'PROJECT SUMMARY'!$C$24:$D$31,2,0)</f>
        <v>0.05</v>
      </c>
      <c r="G208" s="95">
        <f t="shared" si="133"/>
        <v>51.911999999999999</v>
      </c>
      <c r="H208" s="89" t="s">
        <v>10</v>
      </c>
      <c r="I208" s="93">
        <v>3.7999999999999999E-2</v>
      </c>
      <c r="J208" s="94">
        <f t="shared" si="138"/>
        <v>1.972656</v>
      </c>
      <c r="K208" s="90">
        <v>50</v>
      </c>
      <c r="L208" s="90">
        <f t="shared" si="139"/>
        <v>98.632800000000003</v>
      </c>
      <c r="M208" s="90">
        <v>1.41</v>
      </c>
      <c r="N208" s="90">
        <f t="shared" si="136"/>
        <v>73.195920000000001</v>
      </c>
      <c r="O208" s="90">
        <f t="shared" si="137"/>
        <v>171.82872</v>
      </c>
      <c r="P208" s="92"/>
      <c r="Q208" s="110"/>
    </row>
    <row r="209" spans="1:17" x14ac:dyDescent="0.25">
      <c r="A209" s="41">
        <f>IF(G209&lt;&gt;"",1+MAX($A$13:A208),"")</f>
        <v>136</v>
      </c>
      <c r="C209" s="89" t="s">
        <v>274</v>
      </c>
      <c r="D209" s="96" t="s">
        <v>150</v>
      </c>
      <c r="E209" s="100">
        <f>E205</f>
        <v>24.72</v>
      </c>
      <c r="F209" s="91">
        <f>VLOOKUP(H209,'PROJECT SUMMARY'!$C$24:$D$31,2,0)</f>
        <v>0.05</v>
      </c>
      <c r="G209" s="95">
        <f t="shared" si="133"/>
        <v>25.956</v>
      </c>
      <c r="H209" s="89" t="s">
        <v>10</v>
      </c>
      <c r="I209" s="93">
        <v>3.7999999999999999E-2</v>
      </c>
      <c r="J209" s="94">
        <f t="shared" si="138"/>
        <v>0.98632799999999998</v>
      </c>
      <c r="K209" s="90">
        <v>50</v>
      </c>
      <c r="L209" s="90">
        <f t="shared" si="139"/>
        <v>49.316400000000002</v>
      </c>
      <c r="M209" s="90">
        <v>1.41</v>
      </c>
      <c r="N209" s="90">
        <f t="shared" si="136"/>
        <v>36.59796</v>
      </c>
      <c r="O209" s="90">
        <f t="shared" si="137"/>
        <v>85.914360000000002</v>
      </c>
      <c r="P209" s="92"/>
      <c r="Q209" s="110"/>
    </row>
    <row r="210" spans="1:17" x14ac:dyDescent="0.25">
      <c r="A210" s="41">
        <f>IF(G210&lt;&gt;"",1+MAX($A$13:A209),"")</f>
        <v>137</v>
      </c>
      <c r="C210" s="89" t="s">
        <v>274</v>
      </c>
      <c r="D210" s="96" t="s">
        <v>151</v>
      </c>
      <c r="E210" s="100">
        <f>E205*2</f>
        <v>49.44</v>
      </c>
      <c r="F210" s="91">
        <f>VLOOKUP(H210,'PROJECT SUMMARY'!$C$24:$D$31,2,0)</f>
        <v>0.05</v>
      </c>
      <c r="G210" s="95">
        <f t="shared" si="133"/>
        <v>51.911999999999999</v>
      </c>
      <c r="H210" s="89" t="s">
        <v>10</v>
      </c>
      <c r="I210" s="93">
        <v>1.2E-2</v>
      </c>
      <c r="J210" s="94">
        <f t="shared" si="138"/>
        <v>0.62294400000000005</v>
      </c>
      <c r="K210" s="90">
        <v>50</v>
      </c>
      <c r="L210" s="90">
        <f t="shared" si="139"/>
        <v>31.147200000000002</v>
      </c>
      <c r="M210" s="90">
        <v>0.1</v>
      </c>
      <c r="N210" s="90">
        <f t="shared" si="136"/>
        <v>5.1912000000000003</v>
      </c>
      <c r="O210" s="90">
        <f t="shared" si="137"/>
        <v>36.3384</v>
      </c>
      <c r="P210" s="92"/>
      <c r="Q210" s="110"/>
    </row>
    <row r="211" spans="1:17" x14ac:dyDescent="0.25">
      <c r="A211" s="41">
        <f>IF(G211&lt;&gt;"",1+MAX($A$13:A210),"")</f>
        <v>138</v>
      </c>
      <c r="C211" s="89" t="s">
        <v>274</v>
      </c>
      <c r="D211" s="96" t="s">
        <v>152</v>
      </c>
      <c r="E211" s="100">
        <f>E205*G205</f>
        <v>247.2</v>
      </c>
      <c r="F211" s="91">
        <f>VLOOKUP(H211,'PROJECT SUMMARY'!$C$24:$D$31,2,0)</f>
        <v>0.05</v>
      </c>
      <c r="G211" s="95">
        <f t="shared" si="133"/>
        <v>259.56</v>
      </c>
      <c r="H211" s="89" t="s">
        <v>11</v>
      </c>
      <c r="I211" s="93">
        <v>1.0999999999999999E-2</v>
      </c>
      <c r="J211" s="94">
        <f t="shared" si="138"/>
        <v>2.8551599999999997</v>
      </c>
      <c r="K211" s="90">
        <v>50</v>
      </c>
      <c r="L211" s="90">
        <f t="shared" si="139"/>
        <v>142.75799999999998</v>
      </c>
      <c r="M211" s="90">
        <v>0.86</v>
      </c>
      <c r="N211" s="90">
        <f t="shared" si="136"/>
        <v>223.2216</v>
      </c>
      <c r="O211" s="90">
        <f t="shared" si="137"/>
        <v>365.9796</v>
      </c>
      <c r="P211" s="92"/>
      <c r="Q211" s="110"/>
    </row>
    <row r="212" spans="1:17" x14ac:dyDescent="0.25">
      <c r="A212" s="41">
        <f>IF(G212&lt;&gt;"",1+MAX($A$13:A211),"")</f>
        <v>139</v>
      </c>
      <c r="C212" s="89" t="s">
        <v>274</v>
      </c>
      <c r="D212" s="96" t="s">
        <v>92</v>
      </c>
      <c r="E212" s="100">
        <f>E205*G205</f>
        <v>247.2</v>
      </c>
      <c r="F212" s="91">
        <f>VLOOKUP(H212,'PROJECT SUMMARY'!$C$24:$D$31,2,0)</f>
        <v>0.05</v>
      </c>
      <c r="G212" s="95">
        <f t="shared" si="133"/>
        <v>259.56</v>
      </c>
      <c r="H212" s="89" t="s">
        <v>11</v>
      </c>
      <c r="I212" s="93">
        <v>6.0000000000000001E-3</v>
      </c>
      <c r="J212" s="94">
        <f t="shared" si="138"/>
        <v>1.5573600000000001</v>
      </c>
      <c r="K212" s="90">
        <v>50</v>
      </c>
      <c r="L212" s="90">
        <f t="shared" si="139"/>
        <v>77.868000000000009</v>
      </c>
      <c r="M212" s="90">
        <v>0.38</v>
      </c>
      <c r="N212" s="90">
        <f t="shared" si="136"/>
        <v>98.632800000000003</v>
      </c>
      <c r="O212" s="90">
        <f t="shared" si="137"/>
        <v>176.50080000000003</v>
      </c>
      <c r="P212" s="92"/>
      <c r="Q212" s="110"/>
    </row>
    <row r="213" spans="1:17" x14ac:dyDescent="0.25">
      <c r="A213" s="41" t="str">
        <f>IF(G213&lt;&gt;"",1+MAX($A$13:A212),"")</f>
        <v/>
      </c>
      <c r="D213" s="105"/>
      <c r="E213"/>
      <c r="I213" s="93"/>
      <c r="J213" s="94"/>
      <c r="K213" s="104"/>
      <c r="P213" s="92"/>
    </row>
    <row r="214" spans="1:17" x14ac:dyDescent="0.25">
      <c r="A214" s="41">
        <f>IF(G214&lt;&gt;"",1+MAX($A$13:A213),"")</f>
        <v>140</v>
      </c>
      <c r="D214" s="107" t="s">
        <v>163</v>
      </c>
      <c r="E214" s="108">
        <v>140.63</v>
      </c>
      <c r="F214" s="109" t="s">
        <v>10</v>
      </c>
      <c r="G214" s="110">
        <v>3.25</v>
      </c>
      <c r="H214" s="111" t="s">
        <v>146</v>
      </c>
      <c r="I214" s="93"/>
      <c r="J214" s="94"/>
      <c r="K214" s="104"/>
      <c r="P214" s="92"/>
    </row>
    <row r="215" spans="1:17" x14ac:dyDescent="0.25">
      <c r="A215" s="41">
        <f>IF(G215&lt;&gt;"",1+MAX($A$13:A214),"")</f>
        <v>141</v>
      </c>
      <c r="C215" s="89" t="s">
        <v>274</v>
      </c>
      <c r="D215" s="96" t="s">
        <v>164</v>
      </c>
      <c r="E215" s="100">
        <f>E214*G214*2/32</f>
        <v>28.565468750000001</v>
      </c>
      <c r="F215" s="91">
        <f>VLOOKUP(H215,'PROJECT SUMMARY'!$C$24:$D$31,2,0)</f>
        <v>0</v>
      </c>
      <c r="G215" s="95">
        <f t="shared" ref="G215:G221" si="140">E215*(1+F215)</f>
        <v>28.565468750000001</v>
      </c>
      <c r="H215" s="89" t="s">
        <v>9</v>
      </c>
      <c r="I215" s="93">
        <v>0.38</v>
      </c>
      <c r="J215" s="94">
        <f t="shared" ref="J215" si="141">I215*G215</f>
        <v>10.854878125000001</v>
      </c>
      <c r="K215" s="90">
        <v>50</v>
      </c>
      <c r="L215" s="90">
        <f t="shared" ref="L215" si="142">K215*J215</f>
        <v>542.74390625000001</v>
      </c>
      <c r="M215" s="90">
        <v>14.08</v>
      </c>
      <c r="N215" s="90">
        <f t="shared" ref="N215:N221" si="143">M215*G215</f>
        <v>402.20179999999999</v>
      </c>
      <c r="O215" s="90">
        <f t="shared" ref="O215:O221" si="144">L215+N215</f>
        <v>944.94570625000006</v>
      </c>
      <c r="P215" s="92"/>
      <c r="Q215" s="110"/>
    </row>
    <row r="216" spans="1:17" x14ac:dyDescent="0.25">
      <c r="A216" s="41">
        <f>IF(G216&lt;&gt;"",1+MAX($A$13:A215),"")</f>
        <v>142</v>
      </c>
      <c r="C216" s="89" t="s">
        <v>274</v>
      </c>
      <c r="D216" s="96" t="s">
        <v>162</v>
      </c>
      <c r="E216" s="100">
        <f>E214/1.33*3.25/8</f>
        <v>42.955592105263158</v>
      </c>
      <c r="F216" s="91">
        <f>VLOOKUP(H216,'PROJECT SUMMARY'!$C$24:$D$31,2,0)</f>
        <v>0</v>
      </c>
      <c r="G216" s="95">
        <f t="shared" si="140"/>
        <v>42.955592105263158</v>
      </c>
      <c r="H216" s="89" t="s">
        <v>9</v>
      </c>
      <c r="I216" s="93">
        <v>0.11399999999999999</v>
      </c>
      <c r="J216" s="94">
        <f t="shared" ref="J216:J221" si="145">I216*G216</f>
        <v>4.8969374999999999</v>
      </c>
      <c r="K216" s="90">
        <v>50</v>
      </c>
      <c r="L216" s="90">
        <f t="shared" ref="L216:L221" si="146">K216*J216</f>
        <v>244.84687500000001</v>
      </c>
      <c r="M216" s="90">
        <v>4.2299999999999995</v>
      </c>
      <c r="N216" s="90">
        <f t="shared" si="143"/>
        <v>181.70215460526313</v>
      </c>
      <c r="O216" s="90">
        <f t="shared" si="144"/>
        <v>426.54902960526317</v>
      </c>
      <c r="P216" s="92"/>
      <c r="Q216" s="110"/>
    </row>
    <row r="217" spans="1:17" x14ac:dyDescent="0.25">
      <c r="A217" s="41">
        <f>IF(G217&lt;&gt;"",1+MAX($A$13:A216),"")</f>
        <v>143</v>
      </c>
      <c r="C217" s="89" t="s">
        <v>274</v>
      </c>
      <c r="D217" s="96" t="s">
        <v>149</v>
      </c>
      <c r="E217" s="100">
        <f>E214*2</f>
        <v>281.26</v>
      </c>
      <c r="F217" s="91">
        <f>VLOOKUP(H217,'PROJECT SUMMARY'!$C$24:$D$31,2,0)</f>
        <v>0.05</v>
      </c>
      <c r="G217" s="95">
        <f t="shared" si="140"/>
        <v>295.32299999999998</v>
      </c>
      <c r="H217" s="89" t="s">
        <v>10</v>
      </c>
      <c r="I217" s="93">
        <v>3.7999999999999999E-2</v>
      </c>
      <c r="J217" s="94">
        <f t="shared" si="145"/>
        <v>11.222273999999999</v>
      </c>
      <c r="K217" s="90">
        <v>50</v>
      </c>
      <c r="L217" s="90">
        <f t="shared" si="146"/>
        <v>561.11369999999988</v>
      </c>
      <c r="M217" s="90">
        <v>1.41</v>
      </c>
      <c r="N217" s="90">
        <f t="shared" si="143"/>
        <v>416.40542999999997</v>
      </c>
      <c r="O217" s="90">
        <f t="shared" si="144"/>
        <v>977.5191299999999</v>
      </c>
      <c r="P217" s="92"/>
      <c r="Q217" s="110"/>
    </row>
    <row r="218" spans="1:17" x14ac:dyDescent="0.25">
      <c r="A218" s="41">
        <f>IF(G218&lt;&gt;"",1+MAX($A$13:A217),"")</f>
        <v>144</v>
      </c>
      <c r="C218" s="89" t="s">
        <v>274</v>
      </c>
      <c r="D218" s="96" t="s">
        <v>150</v>
      </c>
      <c r="E218" s="100">
        <f>E214</f>
        <v>140.63</v>
      </c>
      <c r="F218" s="91">
        <f>VLOOKUP(H218,'PROJECT SUMMARY'!$C$24:$D$31,2,0)</f>
        <v>0.05</v>
      </c>
      <c r="G218" s="95">
        <f t="shared" si="140"/>
        <v>147.66149999999999</v>
      </c>
      <c r="H218" s="89" t="s">
        <v>10</v>
      </c>
      <c r="I218" s="93">
        <v>3.7999999999999999E-2</v>
      </c>
      <c r="J218" s="94">
        <f t="shared" si="145"/>
        <v>5.6111369999999994</v>
      </c>
      <c r="K218" s="90">
        <v>50</v>
      </c>
      <c r="L218" s="90">
        <f t="shared" si="146"/>
        <v>280.55684999999994</v>
      </c>
      <c r="M218" s="90">
        <v>1.41</v>
      </c>
      <c r="N218" s="90">
        <f t="shared" si="143"/>
        <v>208.20271499999998</v>
      </c>
      <c r="O218" s="90">
        <f t="shared" si="144"/>
        <v>488.75956499999995</v>
      </c>
      <c r="P218" s="92"/>
      <c r="Q218" s="110"/>
    </row>
    <row r="219" spans="1:17" x14ac:dyDescent="0.25">
      <c r="A219" s="41">
        <f>IF(G219&lt;&gt;"",1+MAX($A$13:A218),"")</f>
        <v>145</v>
      </c>
      <c r="C219" s="89" t="s">
        <v>274</v>
      </c>
      <c r="D219" s="96" t="s">
        <v>151</v>
      </c>
      <c r="E219" s="100">
        <f>E214*2</f>
        <v>281.26</v>
      </c>
      <c r="F219" s="91">
        <f>VLOOKUP(H219,'PROJECT SUMMARY'!$C$24:$D$31,2,0)</f>
        <v>0.05</v>
      </c>
      <c r="G219" s="95">
        <f t="shared" si="140"/>
        <v>295.32299999999998</v>
      </c>
      <c r="H219" s="89" t="s">
        <v>10</v>
      </c>
      <c r="I219" s="93">
        <v>1.2E-2</v>
      </c>
      <c r="J219" s="94">
        <f t="shared" si="145"/>
        <v>3.543876</v>
      </c>
      <c r="K219" s="90">
        <v>50</v>
      </c>
      <c r="L219" s="90">
        <f t="shared" si="146"/>
        <v>177.19380000000001</v>
      </c>
      <c r="M219" s="90">
        <v>0.1</v>
      </c>
      <c r="N219" s="90">
        <f t="shared" si="143"/>
        <v>29.532299999999999</v>
      </c>
      <c r="O219" s="90">
        <f t="shared" si="144"/>
        <v>206.7261</v>
      </c>
      <c r="P219" s="92"/>
      <c r="Q219" s="110"/>
    </row>
    <row r="220" spans="1:17" x14ac:dyDescent="0.25">
      <c r="A220" s="41">
        <f>IF(G220&lt;&gt;"",1+MAX($A$13:A219),"")</f>
        <v>146</v>
      </c>
      <c r="C220" s="89" t="s">
        <v>274</v>
      </c>
      <c r="D220" s="96" t="s">
        <v>152</v>
      </c>
      <c r="E220" s="100">
        <f>E214*G214</f>
        <v>457.04750000000001</v>
      </c>
      <c r="F220" s="91">
        <f>VLOOKUP(H220,'PROJECT SUMMARY'!$C$24:$D$31,2,0)</f>
        <v>0.05</v>
      </c>
      <c r="G220" s="95">
        <f t="shared" si="140"/>
        <v>479.89987500000001</v>
      </c>
      <c r="H220" s="89" t="s">
        <v>11</v>
      </c>
      <c r="I220" s="93">
        <v>1.0999999999999999E-2</v>
      </c>
      <c r="J220" s="94">
        <f t="shared" si="145"/>
        <v>5.2788986250000001</v>
      </c>
      <c r="K220" s="90">
        <v>50</v>
      </c>
      <c r="L220" s="90">
        <f t="shared" si="146"/>
        <v>263.94493125000002</v>
      </c>
      <c r="M220" s="90">
        <v>0.86</v>
      </c>
      <c r="N220" s="90">
        <f t="shared" si="143"/>
        <v>412.71389249999999</v>
      </c>
      <c r="O220" s="90">
        <f t="shared" si="144"/>
        <v>676.65882375000001</v>
      </c>
      <c r="P220" s="92"/>
      <c r="Q220" s="110"/>
    </row>
    <row r="221" spans="1:17" x14ac:dyDescent="0.25">
      <c r="A221" s="41">
        <f>IF(G221&lt;&gt;"",1+MAX($A$13:A220),"")</f>
        <v>147</v>
      </c>
      <c r="C221" s="89" t="s">
        <v>274</v>
      </c>
      <c r="D221" s="96" t="s">
        <v>92</v>
      </c>
      <c r="E221" s="100">
        <f>E214*G214</f>
        <v>457.04750000000001</v>
      </c>
      <c r="F221" s="91">
        <f>VLOOKUP(H221,'PROJECT SUMMARY'!$C$24:$D$31,2,0)</f>
        <v>0.05</v>
      </c>
      <c r="G221" s="95">
        <f t="shared" si="140"/>
        <v>479.89987500000001</v>
      </c>
      <c r="H221" s="89" t="s">
        <v>11</v>
      </c>
      <c r="I221" s="93">
        <v>6.0000000000000001E-3</v>
      </c>
      <c r="J221" s="94">
        <f t="shared" si="145"/>
        <v>2.8793992500000001</v>
      </c>
      <c r="K221" s="90">
        <v>50</v>
      </c>
      <c r="L221" s="90">
        <f t="shared" si="146"/>
        <v>143.96996250000001</v>
      </c>
      <c r="M221" s="90">
        <v>0.38</v>
      </c>
      <c r="N221" s="90">
        <f t="shared" si="143"/>
        <v>182.3619525</v>
      </c>
      <c r="O221" s="90">
        <f t="shared" si="144"/>
        <v>326.33191499999998</v>
      </c>
      <c r="P221" s="92"/>
      <c r="Q221" s="110"/>
    </row>
    <row r="222" spans="1:17" x14ac:dyDescent="0.25">
      <c r="A222" s="41" t="str">
        <f>IF(G222&lt;&gt;"",1+MAX($A$13:A221),"")</f>
        <v/>
      </c>
      <c r="D222" s="96"/>
      <c r="E222" s="100"/>
      <c r="I222" s="93"/>
      <c r="J222" s="94"/>
      <c r="P222" s="92"/>
    </row>
    <row r="223" spans="1:17" x14ac:dyDescent="0.25">
      <c r="A223" s="41" t="str">
        <f>IF(G223&lt;&gt;"",1+MAX($A$13:A222),"")</f>
        <v/>
      </c>
      <c r="D223" s="96" t="s">
        <v>75</v>
      </c>
      <c r="E223" s="100">
        <v>174</v>
      </c>
      <c r="I223" s="93"/>
      <c r="J223" s="94"/>
      <c r="P223" s="92"/>
    </row>
    <row r="224" spans="1:17" x14ac:dyDescent="0.25">
      <c r="A224" s="41">
        <f>IF(G224&lt;&gt;"",1+MAX($A$13:A223),"")</f>
        <v>148</v>
      </c>
      <c r="C224" s="89" t="s">
        <v>274</v>
      </c>
      <c r="D224" s="106" t="s">
        <v>76</v>
      </c>
      <c r="E224">
        <f>E223*10</f>
        <v>1740</v>
      </c>
      <c r="F224" s="91">
        <f>VLOOKUP(H224,'PROJECT SUMMARY'!$C$24:$D$31,2,0)</f>
        <v>0.05</v>
      </c>
      <c r="G224" s="95">
        <f t="shared" ref="G224:G226" si="147">E224*(1+F224)</f>
        <v>1827</v>
      </c>
      <c r="H224" s="89" t="s">
        <v>10</v>
      </c>
      <c r="I224" s="93">
        <v>8.0000000000000002E-3</v>
      </c>
      <c r="J224" s="94">
        <f t="shared" ref="J224:J226" si="148">I224*G224</f>
        <v>14.616</v>
      </c>
      <c r="K224" s="90">
        <v>50</v>
      </c>
      <c r="L224" s="90">
        <f t="shared" ref="L224:L226" si="149">K224*J224</f>
        <v>730.8</v>
      </c>
      <c r="M224" s="90">
        <v>0.02</v>
      </c>
      <c r="N224" s="90">
        <f t="shared" ref="N224:N226" si="150">M224*G224</f>
        <v>36.54</v>
      </c>
      <c r="O224" s="90">
        <f t="shared" ref="O224:O226" si="151">L224+N224</f>
        <v>767.33999999999992</v>
      </c>
      <c r="P224" s="92"/>
    </row>
    <row r="225" spans="1:17" x14ac:dyDescent="0.25">
      <c r="A225" s="41">
        <f>IF(G225&lt;&gt;"",1+MAX($A$13:A224),"")</f>
        <v>149</v>
      </c>
      <c r="C225" s="89" t="s">
        <v>274</v>
      </c>
      <c r="D225" s="106" t="s">
        <v>77</v>
      </c>
      <c r="E225">
        <f>E223*32*0.053</f>
        <v>295.10399999999998</v>
      </c>
      <c r="F225" s="91">
        <f>VLOOKUP(H225,'PROJECT SUMMARY'!$C$24:$D$31,2,0)</f>
        <v>0.05</v>
      </c>
      <c r="G225" s="95">
        <f t="shared" si="147"/>
        <v>309.85919999999999</v>
      </c>
      <c r="H225" s="89" t="s">
        <v>78</v>
      </c>
      <c r="I225" s="93">
        <v>0.05</v>
      </c>
      <c r="J225" s="94">
        <f t="shared" si="148"/>
        <v>15.49296</v>
      </c>
      <c r="K225" s="90">
        <v>50</v>
      </c>
      <c r="L225" s="90">
        <f t="shared" si="149"/>
        <v>774.64800000000002</v>
      </c>
      <c r="M225" s="90">
        <v>0.5</v>
      </c>
      <c r="N225" s="90">
        <f t="shared" si="150"/>
        <v>154.92959999999999</v>
      </c>
      <c r="O225" s="90">
        <f t="shared" si="151"/>
        <v>929.57760000000007</v>
      </c>
      <c r="P225" s="92"/>
    </row>
    <row r="226" spans="1:17" x14ac:dyDescent="0.25">
      <c r="A226" s="41">
        <f>IF(G226&lt;&gt;"",1+MAX($A$13:A225),"")</f>
        <v>150</v>
      </c>
      <c r="C226" s="89" t="s">
        <v>274</v>
      </c>
      <c r="D226" s="106" t="s">
        <v>79</v>
      </c>
      <c r="E226">
        <f>E223*45</f>
        <v>7830</v>
      </c>
      <c r="F226" s="91">
        <f>VLOOKUP(H226,'PROJECT SUMMARY'!$C$24:$D$31,2,0)</f>
        <v>0</v>
      </c>
      <c r="G226" s="95">
        <f t="shared" si="147"/>
        <v>7830</v>
      </c>
      <c r="H226" s="89" t="s">
        <v>9</v>
      </c>
      <c r="I226" s="93">
        <v>2E-3</v>
      </c>
      <c r="J226" s="94">
        <f t="shared" si="148"/>
        <v>15.66</v>
      </c>
      <c r="K226" s="90">
        <v>50</v>
      </c>
      <c r="L226" s="90">
        <f t="shared" si="149"/>
        <v>783</v>
      </c>
      <c r="M226" s="90">
        <v>3.0000000000000001E-3</v>
      </c>
      <c r="N226" s="90">
        <f t="shared" si="150"/>
        <v>23.490000000000002</v>
      </c>
      <c r="O226" s="90">
        <f t="shared" si="151"/>
        <v>806.49</v>
      </c>
      <c r="P226" s="92"/>
    </row>
    <row r="227" spans="1:17" x14ac:dyDescent="0.25">
      <c r="A227" s="41" t="str">
        <f>IF(G227&lt;&gt;"",1+MAX($A$13:A226),"")</f>
        <v/>
      </c>
      <c r="D227" s="105"/>
      <c r="E227"/>
      <c r="I227" s="93"/>
      <c r="J227" s="94"/>
      <c r="K227" s="104"/>
      <c r="P227" s="92"/>
    </row>
    <row r="228" spans="1:17" x14ac:dyDescent="0.25">
      <c r="A228" s="41">
        <f>IF(G228&lt;&gt;"",1+MAX($A$13:A227),"")</f>
        <v>151</v>
      </c>
      <c r="D228" s="107" t="s">
        <v>165</v>
      </c>
      <c r="E228" s="108">
        <v>281.36</v>
      </c>
      <c r="F228" s="109" t="s">
        <v>10</v>
      </c>
      <c r="G228" s="110">
        <v>10</v>
      </c>
      <c r="H228" s="111" t="s">
        <v>146</v>
      </c>
      <c r="I228" s="93"/>
      <c r="J228" s="94"/>
      <c r="K228" s="104"/>
      <c r="P228" s="92"/>
    </row>
    <row r="229" spans="1:17" x14ac:dyDescent="0.25">
      <c r="A229" s="41">
        <f>IF(G229&lt;&gt;"",1+MAX($A$13:A228),"")</f>
        <v>152</v>
      </c>
      <c r="C229" s="89" t="s">
        <v>274</v>
      </c>
      <c r="D229" s="96" t="s">
        <v>166</v>
      </c>
      <c r="E229" s="100">
        <f>E228*G228*2/32</f>
        <v>175.85000000000002</v>
      </c>
      <c r="F229" s="91">
        <f>VLOOKUP(H229,'PROJECT SUMMARY'!$C$24:$D$31,2,0)</f>
        <v>0</v>
      </c>
      <c r="G229" s="95">
        <f t="shared" ref="G229:G233" si="152">E229*(1+F229)</f>
        <v>175.85000000000002</v>
      </c>
      <c r="H229" s="89" t="s">
        <v>9</v>
      </c>
      <c r="I229" s="93">
        <v>0.38</v>
      </c>
      <c r="J229" s="94">
        <f t="shared" ref="J229" si="153">I229*G229</f>
        <v>66.823000000000008</v>
      </c>
      <c r="K229" s="90">
        <v>50</v>
      </c>
      <c r="L229" s="90">
        <f t="shared" ref="L229" si="154">K229*J229</f>
        <v>3341.1500000000005</v>
      </c>
      <c r="M229" s="90">
        <v>14.08</v>
      </c>
      <c r="N229" s="90">
        <f t="shared" ref="N229:N233" si="155">M229*G229</f>
        <v>2475.9680000000003</v>
      </c>
      <c r="O229" s="90">
        <f t="shared" ref="O229:O233" si="156">L229+N229</f>
        <v>5817.1180000000004</v>
      </c>
      <c r="P229" s="92"/>
      <c r="Q229" s="110"/>
    </row>
    <row r="230" spans="1:17" x14ac:dyDescent="0.25">
      <c r="A230" s="41">
        <f>IF(G230&lt;&gt;"",1+MAX($A$13:A229),"")</f>
        <v>153</v>
      </c>
      <c r="C230" s="89" t="s">
        <v>274</v>
      </c>
      <c r="D230" s="96" t="s">
        <v>167</v>
      </c>
      <c r="E230" s="100">
        <f>E228/1.33</f>
        <v>211.54887218045113</v>
      </c>
      <c r="F230" s="91">
        <f>VLOOKUP(H230,'PROJECT SUMMARY'!$C$24:$D$31,2,0)</f>
        <v>0</v>
      </c>
      <c r="G230" s="95">
        <f t="shared" si="152"/>
        <v>211.54887218045113</v>
      </c>
      <c r="H230" s="89" t="s">
        <v>9</v>
      </c>
      <c r="I230" s="93">
        <v>3.5999999999999997E-2</v>
      </c>
      <c r="J230" s="94">
        <f t="shared" ref="J230:J233" si="157">I230*G230</f>
        <v>7.6157593984962402</v>
      </c>
      <c r="K230" s="90">
        <v>50</v>
      </c>
      <c r="L230" s="90">
        <f t="shared" ref="L230:L233" si="158">K230*J230</f>
        <v>380.78796992481199</v>
      </c>
      <c r="M230" s="90">
        <v>12.7</v>
      </c>
      <c r="N230" s="90">
        <f t="shared" si="155"/>
        <v>2686.6706766917291</v>
      </c>
      <c r="O230" s="90">
        <f t="shared" si="156"/>
        <v>3067.458646616541</v>
      </c>
      <c r="P230" s="92"/>
      <c r="Q230" s="110"/>
    </row>
    <row r="231" spans="1:17" x14ac:dyDescent="0.25">
      <c r="A231" s="41">
        <f>IF(G231&lt;&gt;"",1+MAX($A$13:A230),"")</f>
        <v>154</v>
      </c>
      <c r="C231" s="89" t="s">
        <v>274</v>
      </c>
      <c r="D231" s="96" t="s">
        <v>168</v>
      </c>
      <c r="E231" s="100">
        <f>E228*2</f>
        <v>562.72</v>
      </c>
      <c r="F231" s="91">
        <f>VLOOKUP(H231,'PROJECT SUMMARY'!$C$24:$D$31,2,0)</f>
        <v>0.05</v>
      </c>
      <c r="G231" s="95">
        <f t="shared" si="152"/>
        <v>590.85600000000011</v>
      </c>
      <c r="H231" s="89" t="s">
        <v>10</v>
      </c>
      <c r="I231" s="93">
        <v>3.5999999999999997E-2</v>
      </c>
      <c r="J231" s="94">
        <f t="shared" si="157"/>
        <v>21.270816000000003</v>
      </c>
      <c r="K231" s="90">
        <v>50</v>
      </c>
      <c r="L231" s="90">
        <f t="shared" si="158"/>
        <v>1063.5408000000002</v>
      </c>
      <c r="M231" s="90">
        <v>1.27</v>
      </c>
      <c r="N231" s="90">
        <f t="shared" si="155"/>
        <v>750.3871200000001</v>
      </c>
      <c r="O231" s="90">
        <f t="shared" si="156"/>
        <v>1813.9279200000003</v>
      </c>
      <c r="P231" s="92"/>
      <c r="Q231" s="110"/>
    </row>
    <row r="232" spans="1:17" x14ac:dyDescent="0.25">
      <c r="A232" s="41">
        <f>IF(G232&lt;&gt;"",1+MAX($A$13:A231),"")</f>
        <v>155</v>
      </c>
      <c r="C232" s="89" t="s">
        <v>274</v>
      </c>
      <c r="D232" s="96" t="s">
        <v>169</v>
      </c>
      <c r="E232" s="100">
        <f>E228</f>
        <v>281.36</v>
      </c>
      <c r="F232" s="91">
        <f>VLOOKUP(H232,'PROJECT SUMMARY'!$C$24:$D$31,2,0)</f>
        <v>0.05</v>
      </c>
      <c r="G232" s="95">
        <f t="shared" si="152"/>
        <v>295.42800000000005</v>
      </c>
      <c r="H232" s="89" t="s">
        <v>10</v>
      </c>
      <c r="I232" s="93">
        <v>3.5999999999999997E-2</v>
      </c>
      <c r="J232" s="94">
        <f t="shared" si="157"/>
        <v>10.635408000000002</v>
      </c>
      <c r="K232" s="90">
        <v>50</v>
      </c>
      <c r="L232" s="90">
        <f t="shared" si="158"/>
        <v>531.77040000000011</v>
      </c>
      <c r="M232" s="90">
        <v>1.27</v>
      </c>
      <c r="N232" s="90">
        <f t="shared" si="155"/>
        <v>375.19356000000005</v>
      </c>
      <c r="O232" s="90">
        <f t="shared" si="156"/>
        <v>906.96396000000016</v>
      </c>
      <c r="P232" s="92"/>
      <c r="Q232" s="110"/>
    </row>
    <row r="233" spans="1:17" x14ac:dyDescent="0.25">
      <c r="A233" s="41">
        <f>IF(G233&lt;&gt;"",1+MAX($A$13:A232),"")</f>
        <v>156</v>
      </c>
      <c r="C233" s="89" t="s">
        <v>274</v>
      </c>
      <c r="D233" s="96" t="s">
        <v>151</v>
      </c>
      <c r="E233" s="100">
        <f>E228*4</f>
        <v>1125.44</v>
      </c>
      <c r="F233" s="91">
        <f>VLOOKUP(H233,'PROJECT SUMMARY'!$C$24:$D$31,2,0)</f>
        <v>0.05</v>
      </c>
      <c r="G233" s="95">
        <f t="shared" si="152"/>
        <v>1181.7120000000002</v>
      </c>
      <c r="H233" s="89" t="s">
        <v>10</v>
      </c>
      <c r="I233" s="93">
        <v>1.2E-2</v>
      </c>
      <c r="J233" s="94">
        <f t="shared" si="157"/>
        <v>14.180544000000003</v>
      </c>
      <c r="K233" s="90">
        <v>50</v>
      </c>
      <c r="L233" s="90">
        <f t="shared" si="158"/>
        <v>709.02720000000011</v>
      </c>
      <c r="M233" s="90">
        <v>0.1</v>
      </c>
      <c r="N233" s="90">
        <f t="shared" si="155"/>
        <v>118.17120000000003</v>
      </c>
      <c r="O233" s="90">
        <f t="shared" si="156"/>
        <v>827.19840000000011</v>
      </c>
      <c r="P233" s="92"/>
      <c r="Q233" s="110"/>
    </row>
    <row r="234" spans="1:17" x14ac:dyDescent="0.25">
      <c r="A234" s="41" t="str">
        <f>IF(G234&lt;&gt;"",1+MAX($A$13:A233),"")</f>
        <v/>
      </c>
      <c r="D234" s="96"/>
      <c r="E234" s="100"/>
      <c r="I234" s="93"/>
      <c r="J234" s="94"/>
      <c r="P234" s="92"/>
      <c r="Q234" s="110"/>
    </row>
    <row r="235" spans="1:17" x14ac:dyDescent="0.25">
      <c r="A235" s="41">
        <f>IF(G235&lt;&gt;"",1+MAX($A$13:A234),"")</f>
        <v>157</v>
      </c>
      <c r="D235" s="107" t="s">
        <v>170</v>
      </c>
      <c r="E235" s="108">
        <v>39.14</v>
      </c>
      <c r="F235" s="109" t="s">
        <v>10</v>
      </c>
      <c r="G235" s="110">
        <v>10</v>
      </c>
      <c r="H235" s="111" t="s">
        <v>146</v>
      </c>
      <c r="I235" s="93"/>
      <c r="J235" s="94"/>
      <c r="K235" s="104"/>
      <c r="P235" s="92"/>
      <c r="Q235" s="110"/>
    </row>
    <row r="236" spans="1:17" x14ac:dyDescent="0.25">
      <c r="A236" s="41">
        <f>IF(G236&lt;&gt;"",1+MAX($A$13:A235),"")</f>
        <v>158</v>
      </c>
      <c r="C236" s="89" t="s">
        <v>274</v>
      </c>
      <c r="D236" s="96" t="s">
        <v>166</v>
      </c>
      <c r="E236" s="100">
        <f>E235*G235*2/32</f>
        <v>24.462499999999999</v>
      </c>
      <c r="F236" s="91">
        <f>VLOOKUP(H236,'PROJECT SUMMARY'!$C$24:$D$31,2,0)</f>
        <v>0</v>
      </c>
      <c r="G236" s="95">
        <f t="shared" ref="G236:G241" si="159">E236*(1+F236)</f>
        <v>24.462499999999999</v>
      </c>
      <c r="H236" s="89" t="s">
        <v>9</v>
      </c>
      <c r="I236" s="93">
        <v>0.38</v>
      </c>
      <c r="J236" s="94">
        <f t="shared" ref="J236" si="160">I236*G236</f>
        <v>9.29575</v>
      </c>
      <c r="K236" s="90">
        <v>50</v>
      </c>
      <c r="L236" s="90">
        <f t="shared" ref="L236" si="161">K236*J236</f>
        <v>464.78750000000002</v>
      </c>
      <c r="M236" s="90">
        <v>14.08</v>
      </c>
      <c r="N236" s="90">
        <f t="shared" ref="N236:N241" si="162">M236*G236</f>
        <v>344.43199999999996</v>
      </c>
      <c r="O236" s="90">
        <f t="shared" ref="O236:O241" si="163">L236+N236</f>
        <v>809.21949999999993</v>
      </c>
      <c r="P236" s="92"/>
    </row>
    <row r="237" spans="1:17" x14ac:dyDescent="0.25">
      <c r="A237" s="41">
        <f>IF(G237&lt;&gt;"",1+MAX($A$13:A236),"")</f>
        <v>159</v>
      </c>
      <c r="C237" s="89" t="s">
        <v>274</v>
      </c>
      <c r="D237" s="96" t="s">
        <v>148</v>
      </c>
      <c r="E237" s="100">
        <f>E235/1.33</f>
        <v>29.428571428571427</v>
      </c>
      <c r="F237" s="91">
        <f>VLOOKUP(H237,'PROJECT SUMMARY'!$C$24:$D$31,2,0)</f>
        <v>0</v>
      </c>
      <c r="G237" s="95">
        <f t="shared" si="159"/>
        <v>29.428571428571427</v>
      </c>
      <c r="H237" s="89" t="s">
        <v>9</v>
      </c>
      <c r="I237" s="93">
        <v>0.38</v>
      </c>
      <c r="J237" s="94">
        <f t="shared" ref="J237:J241" si="164">I237*G237</f>
        <v>11.182857142857143</v>
      </c>
      <c r="K237" s="90">
        <v>50</v>
      </c>
      <c r="L237" s="90">
        <f t="shared" ref="L237:L241" si="165">K237*J237</f>
        <v>559.14285714285711</v>
      </c>
      <c r="M237" s="90">
        <v>14.1</v>
      </c>
      <c r="N237" s="90">
        <f t="shared" si="162"/>
        <v>414.94285714285712</v>
      </c>
      <c r="O237" s="90">
        <f t="shared" si="163"/>
        <v>974.08571428571418</v>
      </c>
      <c r="P237" s="92"/>
      <c r="Q237" s="110"/>
    </row>
    <row r="238" spans="1:17" x14ac:dyDescent="0.25">
      <c r="A238" s="41">
        <f>IF(G238&lt;&gt;"",1+MAX($A$13:A237),"")</f>
        <v>160</v>
      </c>
      <c r="C238" s="89" t="s">
        <v>274</v>
      </c>
      <c r="D238" s="96" t="s">
        <v>149</v>
      </c>
      <c r="E238" s="100">
        <f>E235*2</f>
        <v>78.28</v>
      </c>
      <c r="F238" s="91">
        <f>VLOOKUP(H238,'PROJECT SUMMARY'!$C$24:$D$31,2,0)</f>
        <v>0.05</v>
      </c>
      <c r="G238" s="95">
        <f t="shared" si="159"/>
        <v>82.194000000000003</v>
      </c>
      <c r="H238" s="89" t="s">
        <v>10</v>
      </c>
      <c r="I238" s="93">
        <v>3.7999999999999999E-2</v>
      </c>
      <c r="J238" s="94">
        <f t="shared" si="164"/>
        <v>3.1233719999999998</v>
      </c>
      <c r="K238" s="90">
        <v>50</v>
      </c>
      <c r="L238" s="90">
        <f t="shared" si="165"/>
        <v>156.1686</v>
      </c>
      <c r="M238" s="90">
        <v>1.41</v>
      </c>
      <c r="N238" s="90">
        <f t="shared" si="162"/>
        <v>115.89354</v>
      </c>
      <c r="O238" s="90">
        <f t="shared" si="163"/>
        <v>272.06214</v>
      </c>
      <c r="P238" s="92"/>
      <c r="Q238" s="110"/>
    </row>
    <row r="239" spans="1:17" x14ac:dyDescent="0.25">
      <c r="A239" s="41">
        <f>IF(G239&lt;&gt;"",1+MAX($A$13:A238),"")</f>
        <v>161</v>
      </c>
      <c r="C239" s="89" t="s">
        <v>274</v>
      </c>
      <c r="D239" s="96" t="s">
        <v>150</v>
      </c>
      <c r="E239" s="100">
        <f>E235</f>
        <v>39.14</v>
      </c>
      <c r="F239" s="91">
        <f>VLOOKUP(H239,'PROJECT SUMMARY'!$C$24:$D$31,2,0)</f>
        <v>0.05</v>
      </c>
      <c r="G239" s="95">
        <f t="shared" si="159"/>
        <v>41.097000000000001</v>
      </c>
      <c r="H239" s="89" t="s">
        <v>10</v>
      </c>
      <c r="I239" s="93">
        <v>3.7999999999999999E-2</v>
      </c>
      <c r="J239" s="94">
        <f t="shared" si="164"/>
        <v>1.5616859999999999</v>
      </c>
      <c r="K239" s="90">
        <v>50</v>
      </c>
      <c r="L239" s="90">
        <f t="shared" si="165"/>
        <v>78.084299999999999</v>
      </c>
      <c r="M239" s="90">
        <v>1.41</v>
      </c>
      <c r="N239" s="90">
        <f t="shared" si="162"/>
        <v>57.946770000000001</v>
      </c>
      <c r="O239" s="90">
        <f t="shared" si="163"/>
        <v>136.03107</v>
      </c>
      <c r="P239" s="92"/>
      <c r="Q239" s="110"/>
    </row>
    <row r="240" spans="1:17" x14ac:dyDescent="0.25">
      <c r="A240" s="41">
        <f>IF(G240&lt;&gt;"",1+MAX($A$13:A239),"")</f>
        <v>162</v>
      </c>
      <c r="C240" s="89" t="s">
        <v>274</v>
      </c>
      <c r="D240" s="96" t="s">
        <v>151</v>
      </c>
      <c r="E240" s="100">
        <f>E235*4</f>
        <v>156.56</v>
      </c>
      <c r="F240" s="91">
        <f>VLOOKUP(H240,'PROJECT SUMMARY'!$C$24:$D$31,2,0)</f>
        <v>0.05</v>
      </c>
      <c r="G240" s="95">
        <f t="shared" si="159"/>
        <v>164.38800000000001</v>
      </c>
      <c r="H240" s="89" t="s">
        <v>10</v>
      </c>
      <c r="I240" s="93">
        <v>1.2E-2</v>
      </c>
      <c r="J240" s="94">
        <f t="shared" si="164"/>
        <v>1.9726560000000002</v>
      </c>
      <c r="K240" s="90">
        <v>50</v>
      </c>
      <c r="L240" s="90">
        <f t="shared" si="165"/>
        <v>98.632800000000003</v>
      </c>
      <c r="M240" s="90">
        <v>0.1</v>
      </c>
      <c r="N240" s="90">
        <f t="shared" si="162"/>
        <v>16.438800000000001</v>
      </c>
      <c r="O240" s="90">
        <f t="shared" si="163"/>
        <v>115.0716</v>
      </c>
      <c r="P240" s="92"/>
      <c r="Q240" s="110"/>
    </row>
    <row r="241" spans="1:17" x14ac:dyDescent="0.25">
      <c r="A241" s="41">
        <f>IF(G241&lt;&gt;"",1+MAX($A$13:A240),"")</f>
        <v>163</v>
      </c>
      <c r="C241" s="89" t="s">
        <v>274</v>
      </c>
      <c r="D241" s="96" t="s">
        <v>152</v>
      </c>
      <c r="E241" s="100">
        <f>E235*G235</f>
        <v>391.4</v>
      </c>
      <c r="F241" s="91">
        <f>VLOOKUP(H241,'PROJECT SUMMARY'!$C$24:$D$31,2,0)</f>
        <v>0.05</v>
      </c>
      <c r="G241" s="95">
        <f t="shared" si="159"/>
        <v>410.96999999999997</v>
      </c>
      <c r="H241" s="89" t="s">
        <v>11</v>
      </c>
      <c r="I241" s="93">
        <v>1.0999999999999999E-2</v>
      </c>
      <c r="J241" s="94">
        <f t="shared" si="164"/>
        <v>4.5206699999999991</v>
      </c>
      <c r="K241" s="90">
        <v>50</v>
      </c>
      <c r="L241" s="90">
        <f t="shared" si="165"/>
        <v>226.03349999999995</v>
      </c>
      <c r="M241" s="90">
        <v>0.86</v>
      </c>
      <c r="N241" s="90">
        <f t="shared" si="162"/>
        <v>353.43419999999998</v>
      </c>
      <c r="O241" s="90">
        <f t="shared" si="163"/>
        <v>579.46769999999992</v>
      </c>
      <c r="P241" s="92"/>
      <c r="Q241" s="110"/>
    </row>
    <row r="242" spans="1:17" x14ac:dyDescent="0.25">
      <c r="A242" s="41" t="str">
        <f>IF(G242&lt;&gt;"",1+MAX($A$13:A241),"")</f>
        <v/>
      </c>
      <c r="D242" s="105"/>
      <c r="E242"/>
      <c r="I242" s="93"/>
      <c r="J242" s="94"/>
      <c r="K242" s="104"/>
      <c r="P242" s="92"/>
      <c r="Q242" s="110"/>
    </row>
    <row r="243" spans="1:17" x14ac:dyDescent="0.25">
      <c r="A243" s="41">
        <f>IF(G243&lt;&gt;"",1+MAX($A$13:A242),"")</f>
        <v>164</v>
      </c>
      <c r="D243" s="107" t="s">
        <v>171</v>
      </c>
      <c r="E243" s="108">
        <v>24.53</v>
      </c>
      <c r="F243" s="109" t="s">
        <v>10</v>
      </c>
      <c r="G243" s="110">
        <v>10</v>
      </c>
      <c r="H243" s="111" t="s">
        <v>146</v>
      </c>
      <c r="I243" s="93"/>
      <c r="J243" s="94"/>
      <c r="K243" s="104"/>
      <c r="P243" s="92"/>
      <c r="Q243" s="110"/>
    </row>
    <row r="244" spans="1:17" x14ac:dyDescent="0.25">
      <c r="A244" s="41">
        <f>IF(G244&lt;&gt;"",1+MAX($A$13:A243),"")</f>
        <v>165</v>
      </c>
      <c r="C244" s="89" t="s">
        <v>274</v>
      </c>
      <c r="D244" s="96" t="s">
        <v>166</v>
      </c>
      <c r="E244" s="100">
        <f>E243*G243*2/32</f>
        <v>15.331250000000001</v>
      </c>
      <c r="F244" s="91">
        <f>VLOOKUP(H244,'PROJECT SUMMARY'!$C$24:$D$31,2,0)</f>
        <v>0</v>
      </c>
      <c r="G244" s="95">
        <f t="shared" ref="G244:G249" si="166">E244*(1+F244)</f>
        <v>15.331250000000001</v>
      </c>
      <c r="H244" s="89" t="s">
        <v>9</v>
      </c>
      <c r="I244" s="93">
        <v>0.38</v>
      </c>
      <c r="J244" s="94">
        <f t="shared" ref="J244" si="167">I244*G244</f>
        <v>5.8258749999999999</v>
      </c>
      <c r="K244" s="90">
        <v>50</v>
      </c>
      <c r="L244" s="90">
        <f t="shared" ref="L244" si="168">K244*J244</f>
        <v>291.29374999999999</v>
      </c>
      <c r="M244" s="90">
        <v>14.08</v>
      </c>
      <c r="N244" s="90">
        <f t="shared" ref="N244:N249" si="169">M244*G244</f>
        <v>215.864</v>
      </c>
      <c r="O244" s="90">
        <f t="shared" ref="O244:O249" si="170">L244+N244</f>
        <v>507.15774999999996</v>
      </c>
      <c r="P244" s="92"/>
      <c r="Q244" s="110"/>
    </row>
    <row r="245" spans="1:17" x14ac:dyDescent="0.25">
      <c r="A245" s="41">
        <f>IF(G245&lt;&gt;"",1+MAX($A$13:A244),"")</f>
        <v>166</v>
      </c>
      <c r="C245" s="89" t="s">
        <v>274</v>
      </c>
      <c r="D245" s="96" t="s">
        <v>148</v>
      </c>
      <c r="E245" s="100">
        <f>E243/1.33</f>
        <v>18.443609022556391</v>
      </c>
      <c r="F245" s="91">
        <f>VLOOKUP(H245,'PROJECT SUMMARY'!$C$24:$D$31,2,0)</f>
        <v>0</v>
      </c>
      <c r="G245" s="95">
        <f t="shared" si="166"/>
        <v>18.443609022556391</v>
      </c>
      <c r="H245" s="89" t="s">
        <v>9</v>
      </c>
      <c r="I245" s="93">
        <v>0.38</v>
      </c>
      <c r="J245" s="94">
        <f t="shared" ref="J245:J249" si="171">I245*G245</f>
        <v>7.0085714285714289</v>
      </c>
      <c r="K245" s="90">
        <v>50</v>
      </c>
      <c r="L245" s="90">
        <f t="shared" ref="L245:L249" si="172">K245*J245</f>
        <v>350.42857142857144</v>
      </c>
      <c r="M245" s="90">
        <v>14.1</v>
      </c>
      <c r="N245" s="90">
        <f t="shared" si="169"/>
        <v>260.05488721804511</v>
      </c>
      <c r="O245" s="90">
        <f t="shared" si="170"/>
        <v>610.48345864661655</v>
      </c>
      <c r="P245" s="92"/>
      <c r="Q245" s="110"/>
    </row>
    <row r="246" spans="1:17" x14ac:dyDescent="0.25">
      <c r="A246" s="41">
        <f>IF(G246&lt;&gt;"",1+MAX($A$13:A245),"")</f>
        <v>167</v>
      </c>
      <c r="C246" s="89" t="s">
        <v>274</v>
      </c>
      <c r="D246" s="96" t="s">
        <v>149</v>
      </c>
      <c r="E246" s="100">
        <f>E243*2</f>
        <v>49.06</v>
      </c>
      <c r="F246" s="91">
        <f>VLOOKUP(H246,'PROJECT SUMMARY'!$C$24:$D$31,2,0)</f>
        <v>0.05</v>
      </c>
      <c r="G246" s="95">
        <f t="shared" si="166"/>
        <v>51.513000000000005</v>
      </c>
      <c r="H246" s="89" t="s">
        <v>10</v>
      </c>
      <c r="I246" s="93">
        <v>3.7999999999999999E-2</v>
      </c>
      <c r="J246" s="94">
        <f t="shared" si="171"/>
        <v>1.9574940000000001</v>
      </c>
      <c r="K246" s="90">
        <v>50</v>
      </c>
      <c r="L246" s="90">
        <f t="shared" si="172"/>
        <v>97.874700000000004</v>
      </c>
      <c r="M246" s="90">
        <v>1.41</v>
      </c>
      <c r="N246" s="90">
        <f t="shared" si="169"/>
        <v>72.633330000000001</v>
      </c>
      <c r="O246" s="90">
        <f t="shared" si="170"/>
        <v>170.50803000000002</v>
      </c>
      <c r="P246" s="92"/>
      <c r="Q246" s="110"/>
    </row>
    <row r="247" spans="1:17" x14ac:dyDescent="0.25">
      <c r="A247" s="41">
        <f>IF(G247&lt;&gt;"",1+MAX($A$13:A246),"")</f>
        <v>168</v>
      </c>
      <c r="C247" s="89" t="s">
        <v>274</v>
      </c>
      <c r="D247" s="96" t="s">
        <v>150</v>
      </c>
      <c r="E247" s="100">
        <f>E243</f>
        <v>24.53</v>
      </c>
      <c r="F247" s="91">
        <f>VLOOKUP(H247,'PROJECT SUMMARY'!$C$24:$D$31,2,0)</f>
        <v>0.05</v>
      </c>
      <c r="G247" s="95">
        <f t="shared" si="166"/>
        <v>25.756500000000003</v>
      </c>
      <c r="H247" s="89" t="s">
        <v>10</v>
      </c>
      <c r="I247" s="93">
        <v>3.7999999999999999E-2</v>
      </c>
      <c r="J247" s="94">
        <f t="shared" si="171"/>
        <v>0.97874700000000003</v>
      </c>
      <c r="K247" s="90">
        <v>50</v>
      </c>
      <c r="L247" s="90">
        <f t="shared" si="172"/>
        <v>48.937350000000002</v>
      </c>
      <c r="M247" s="90">
        <v>1.41</v>
      </c>
      <c r="N247" s="90">
        <f t="shared" si="169"/>
        <v>36.316665</v>
      </c>
      <c r="O247" s="90">
        <f t="shared" si="170"/>
        <v>85.25401500000001</v>
      </c>
      <c r="P247" s="92"/>
      <c r="Q247" s="110"/>
    </row>
    <row r="248" spans="1:17" x14ac:dyDescent="0.25">
      <c r="A248" s="41">
        <f>IF(G248&lt;&gt;"",1+MAX($A$13:A247),"")</f>
        <v>169</v>
      </c>
      <c r="C248" s="89" t="s">
        <v>274</v>
      </c>
      <c r="D248" s="96" t="s">
        <v>151</v>
      </c>
      <c r="E248" s="100">
        <f>E243*4</f>
        <v>98.12</v>
      </c>
      <c r="F248" s="91">
        <f>VLOOKUP(H248,'PROJECT SUMMARY'!$C$24:$D$31,2,0)</f>
        <v>0.05</v>
      </c>
      <c r="G248" s="95">
        <f t="shared" si="166"/>
        <v>103.02600000000001</v>
      </c>
      <c r="H248" s="89" t="s">
        <v>10</v>
      </c>
      <c r="I248" s="93">
        <v>1.2E-2</v>
      </c>
      <c r="J248" s="94">
        <f t="shared" si="171"/>
        <v>1.2363120000000001</v>
      </c>
      <c r="K248" s="90">
        <v>50</v>
      </c>
      <c r="L248" s="90">
        <f t="shared" si="172"/>
        <v>61.815600000000003</v>
      </c>
      <c r="M248" s="90">
        <v>0.1</v>
      </c>
      <c r="N248" s="90">
        <f t="shared" si="169"/>
        <v>10.302600000000002</v>
      </c>
      <c r="O248" s="90">
        <f t="shared" si="170"/>
        <v>72.118200000000002</v>
      </c>
      <c r="P248" s="92"/>
      <c r="Q248" s="110"/>
    </row>
    <row r="249" spans="1:17" x14ac:dyDescent="0.25">
      <c r="A249" s="41">
        <f>IF(G249&lt;&gt;"",1+MAX($A$13:A248),"")</f>
        <v>170</v>
      </c>
      <c r="C249" s="89" t="s">
        <v>274</v>
      </c>
      <c r="D249" s="96" t="s">
        <v>172</v>
      </c>
      <c r="E249" s="100">
        <f>E243*G243</f>
        <v>245.3</v>
      </c>
      <c r="F249" s="91">
        <f>VLOOKUP(H249,'PROJECT SUMMARY'!$C$24:$D$31,2,0)</f>
        <v>0.05</v>
      </c>
      <c r="G249" s="95">
        <f t="shared" si="166"/>
        <v>257.565</v>
      </c>
      <c r="H249" s="89" t="s">
        <v>11</v>
      </c>
      <c r="I249" s="93">
        <v>1.0999999999999999E-2</v>
      </c>
      <c r="J249" s="94">
        <f t="shared" si="171"/>
        <v>2.8332149999999996</v>
      </c>
      <c r="K249" s="90">
        <v>50</v>
      </c>
      <c r="L249" s="90">
        <f t="shared" si="172"/>
        <v>141.66074999999998</v>
      </c>
      <c r="M249" s="90">
        <v>0.86</v>
      </c>
      <c r="N249" s="90">
        <f t="shared" si="169"/>
        <v>221.5059</v>
      </c>
      <c r="O249" s="90">
        <f t="shared" si="170"/>
        <v>363.16665</v>
      </c>
      <c r="P249" s="92"/>
      <c r="Q249" s="110"/>
    </row>
    <row r="250" spans="1:17" x14ac:dyDescent="0.25">
      <c r="A250" s="41" t="str">
        <f>IF(G250&lt;&gt;"",1+MAX($A$13:A249),"")</f>
        <v/>
      </c>
      <c r="D250" s="105"/>
      <c r="E250"/>
      <c r="I250" s="93"/>
      <c r="J250" s="94"/>
      <c r="K250" s="104"/>
      <c r="P250" s="92"/>
    </row>
    <row r="251" spans="1:17" x14ac:dyDescent="0.25">
      <c r="A251" s="41">
        <f>IF(G251&lt;&gt;"",1+MAX($A$13:A250),"")</f>
        <v>171</v>
      </c>
      <c r="D251" s="107" t="s">
        <v>173</v>
      </c>
      <c r="E251" s="108">
        <v>23.04</v>
      </c>
      <c r="F251" s="109" t="s">
        <v>10</v>
      </c>
      <c r="G251" s="110">
        <v>4.6669999999999998</v>
      </c>
      <c r="H251" s="111" t="s">
        <v>146</v>
      </c>
      <c r="I251" s="93"/>
      <c r="J251" s="94"/>
      <c r="K251" s="104"/>
      <c r="P251" s="92"/>
    </row>
    <row r="252" spans="1:17" x14ac:dyDescent="0.25">
      <c r="A252" s="41">
        <f>IF(G252&lt;&gt;"",1+MAX($A$13:A251),"")</f>
        <v>172</v>
      </c>
      <c r="C252" s="89" t="s">
        <v>274</v>
      </c>
      <c r="D252" s="96" t="s">
        <v>147</v>
      </c>
      <c r="E252" s="100">
        <f>E251*G251*2/32</f>
        <v>6.7204799999999993</v>
      </c>
      <c r="F252" s="91">
        <f>VLOOKUP(H252,'PROJECT SUMMARY'!$C$24:$D$31,2,0)</f>
        <v>0</v>
      </c>
      <c r="G252" s="95">
        <f t="shared" ref="G252:G257" si="173">E252*(1+F252)</f>
        <v>6.7204799999999993</v>
      </c>
      <c r="H252" s="89" t="s">
        <v>9</v>
      </c>
      <c r="I252" s="93">
        <v>0.38</v>
      </c>
      <c r="J252" s="94">
        <f t="shared" ref="J252" si="174">I252*G252</f>
        <v>2.5537823999999998</v>
      </c>
      <c r="K252" s="90">
        <v>50</v>
      </c>
      <c r="L252" s="90">
        <f t="shared" ref="L252" si="175">K252*J252</f>
        <v>127.68911999999999</v>
      </c>
      <c r="M252" s="90">
        <v>14.08</v>
      </c>
      <c r="N252" s="90">
        <f t="shared" ref="N252:N257" si="176">M252*G252</f>
        <v>94.624358399999991</v>
      </c>
      <c r="O252" s="90">
        <f t="shared" ref="O252:O257" si="177">L252+N252</f>
        <v>222.31347839999998</v>
      </c>
      <c r="P252" s="92"/>
      <c r="Q252" s="110"/>
    </row>
    <row r="253" spans="1:17" x14ac:dyDescent="0.25">
      <c r="A253" s="41">
        <f>IF(G253&lt;&gt;"",1+MAX($A$13:A252),"")</f>
        <v>173</v>
      </c>
      <c r="C253" s="89" t="s">
        <v>274</v>
      </c>
      <c r="D253" s="96" t="s">
        <v>148</v>
      </c>
      <c r="E253" s="100">
        <f>E251/1.33*4.667/8</f>
        <v>10.105984962406014</v>
      </c>
      <c r="F253" s="91">
        <f>VLOOKUP(H253,'PROJECT SUMMARY'!$C$24:$D$31,2,0)</f>
        <v>0</v>
      </c>
      <c r="G253" s="95">
        <f t="shared" si="173"/>
        <v>10.105984962406014</v>
      </c>
      <c r="H253" s="89" t="s">
        <v>9</v>
      </c>
      <c r="I253" s="93">
        <v>0.19</v>
      </c>
      <c r="J253" s="94">
        <f t="shared" ref="J253:J257" si="178">I253*G253</f>
        <v>1.9201371428571428</v>
      </c>
      <c r="K253" s="90">
        <v>50</v>
      </c>
      <c r="L253" s="90">
        <f t="shared" ref="L253:L257" si="179">K253*J253</f>
        <v>96.006857142857143</v>
      </c>
      <c r="M253" s="90">
        <v>7.05</v>
      </c>
      <c r="N253" s="90">
        <f t="shared" si="176"/>
        <v>71.247193984962394</v>
      </c>
      <c r="O253" s="90">
        <f t="shared" si="177"/>
        <v>167.25405112781954</v>
      </c>
      <c r="P253" s="92"/>
      <c r="Q253" s="110"/>
    </row>
    <row r="254" spans="1:17" x14ac:dyDescent="0.25">
      <c r="A254" s="41">
        <f>IF(G254&lt;&gt;"",1+MAX($A$13:A253),"")</f>
        <v>174</v>
      </c>
      <c r="C254" s="89" t="s">
        <v>274</v>
      </c>
      <c r="D254" s="96" t="s">
        <v>149</v>
      </c>
      <c r="E254" s="100">
        <f>E251*2</f>
        <v>46.08</v>
      </c>
      <c r="F254" s="91">
        <f>VLOOKUP(H254,'PROJECT SUMMARY'!$C$24:$D$31,2,0)</f>
        <v>0.05</v>
      </c>
      <c r="G254" s="95">
        <f t="shared" si="173"/>
        <v>48.384</v>
      </c>
      <c r="H254" s="89" t="s">
        <v>10</v>
      </c>
      <c r="I254" s="93">
        <v>3.7999999999999999E-2</v>
      </c>
      <c r="J254" s="94">
        <f t="shared" si="178"/>
        <v>1.838592</v>
      </c>
      <c r="K254" s="90">
        <v>50</v>
      </c>
      <c r="L254" s="90">
        <f t="shared" si="179"/>
        <v>91.929599999999994</v>
      </c>
      <c r="M254" s="90">
        <v>1.41</v>
      </c>
      <c r="N254" s="90">
        <f t="shared" si="176"/>
        <v>68.221440000000001</v>
      </c>
      <c r="O254" s="90">
        <f t="shared" si="177"/>
        <v>160.15103999999999</v>
      </c>
      <c r="P254" s="92"/>
      <c r="Q254" s="110"/>
    </row>
    <row r="255" spans="1:17" x14ac:dyDescent="0.25">
      <c r="A255" s="41">
        <f>IF(G255&lt;&gt;"",1+MAX($A$13:A254),"")</f>
        <v>175</v>
      </c>
      <c r="C255" s="89" t="s">
        <v>274</v>
      </c>
      <c r="D255" s="96" t="s">
        <v>150</v>
      </c>
      <c r="E255" s="100">
        <f>E251</f>
        <v>23.04</v>
      </c>
      <c r="F255" s="91">
        <f>VLOOKUP(H255,'PROJECT SUMMARY'!$C$24:$D$31,2,0)</f>
        <v>0.05</v>
      </c>
      <c r="G255" s="95">
        <f t="shared" si="173"/>
        <v>24.192</v>
      </c>
      <c r="H255" s="89" t="s">
        <v>10</v>
      </c>
      <c r="I255" s="93">
        <v>3.7999999999999999E-2</v>
      </c>
      <c r="J255" s="94">
        <f t="shared" si="178"/>
        <v>0.919296</v>
      </c>
      <c r="K255" s="90">
        <v>50</v>
      </c>
      <c r="L255" s="90">
        <f t="shared" si="179"/>
        <v>45.964799999999997</v>
      </c>
      <c r="M255" s="90">
        <v>1.41</v>
      </c>
      <c r="N255" s="90">
        <f t="shared" si="176"/>
        <v>34.110720000000001</v>
      </c>
      <c r="O255" s="90">
        <f t="shared" si="177"/>
        <v>80.075519999999997</v>
      </c>
      <c r="P255" s="92"/>
      <c r="Q255" s="110"/>
    </row>
    <row r="256" spans="1:17" x14ac:dyDescent="0.25">
      <c r="A256" s="41">
        <f>IF(G256&lt;&gt;"",1+MAX($A$13:A255),"")</f>
        <v>176</v>
      </c>
      <c r="C256" s="89" t="s">
        <v>274</v>
      </c>
      <c r="D256" s="96" t="s">
        <v>151</v>
      </c>
      <c r="E256" s="100">
        <f>E251*2</f>
        <v>46.08</v>
      </c>
      <c r="F256" s="91">
        <f>VLOOKUP(H256,'PROJECT SUMMARY'!$C$24:$D$31,2,0)</f>
        <v>0.05</v>
      </c>
      <c r="G256" s="95">
        <f t="shared" si="173"/>
        <v>48.384</v>
      </c>
      <c r="H256" s="89" t="s">
        <v>10</v>
      </c>
      <c r="I256" s="93">
        <v>1.2E-2</v>
      </c>
      <c r="J256" s="94">
        <f t="shared" si="178"/>
        <v>0.58060800000000001</v>
      </c>
      <c r="K256" s="90">
        <v>50</v>
      </c>
      <c r="L256" s="90">
        <f t="shared" si="179"/>
        <v>29.0304</v>
      </c>
      <c r="M256" s="90">
        <v>0.1</v>
      </c>
      <c r="N256" s="90">
        <f t="shared" si="176"/>
        <v>4.8384</v>
      </c>
      <c r="O256" s="90">
        <f t="shared" si="177"/>
        <v>33.8688</v>
      </c>
      <c r="P256" s="92"/>
      <c r="Q256" s="110"/>
    </row>
    <row r="257" spans="1:17" x14ac:dyDescent="0.25">
      <c r="A257" s="41">
        <f>IF(G257&lt;&gt;"",1+MAX($A$13:A256),"")</f>
        <v>177</v>
      </c>
      <c r="C257" s="89" t="s">
        <v>274</v>
      </c>
      <c r="D257" s="96" t="s">
        <v>172</v>
      </c>
      <c r="E257" s="100">
        <f>E251*G251</f>
        <v>107.52767999999999</v>
      </c>
      <c r="F257" s="91">
        <f>VLOOKUP(H257,'PROJECT SUMMARY'!$C$24:$D$31,2,0)</f>
        <v>0.05</v>
      </c>
      <c r="G257" s="95">
        <f t="shared" si="173"/>
        <v>112.90406399999999</v>
      </c>
      <c r="H257" s="89" t="s">
        <v>11</v>
      </c>
      <c r="I257" s="93">
        <v>1.0999999999999999E-2</v>
      </c>
      <c r="J257" s="94">
        <f t="shared" si="178"/>
        <v>1.2419447039999998</v>
      </c>
      <c r="K257" s="90">
        <v>50</v>
      </c>
      <c r="L257" s="90">
        <f t="shared" si="179"/>
        <v>62.097235199999986</v>
      </c>
      <c r="M257" s="90">
        <v>0.86</v>
      </c>
      <c r="N257" s="90">
        <f t="shared" si="176"/>
        <v>97.097495039999984</v>
      </c>
      <c r="O257" s="90">
        <f t="shared" si="177"/>
        <v>159.19473023999996</v>
      </c>
      <c r="P257" s="92"/>
      <c r="Q257" s="110"/>
    </row>
    <row r="258" spans="1:17" x14ac:dyDescent="0.25">
      <c r="A258" s="41" t="str">
        <f>IF(G258&lt;&gt;"",1+MAX($A$13:A257),"")</f>
        <v/>
      </c>
      <c r="D258" s="105"/>
      <c r="E258"/>
      <c r="I258" s="93"/>
      <c r="J258" s="94"/>
      <c r="K258" s="104"/>
      <c r="P258" s="92"/>
    </row>
    <row r="259" spans="1:17" x14ac:dyDescent="0.25">
      <c r="A259" s="41" t="str">
        <f>IF(G259&lt;&gt;"",1+MAX($A$13:A258),"")</f>
        <v/>
      </c>
      <c r="D259" s="105" t="s">
        <v>75</v>
      </c>
      <c r="E259">
        <v>222</v>
      </c>
      <c r="I259" s="93"/>
      <c r="J259" s="94"/>
      <c r="K259" s="104"/>
      <c r="P259" s="92"/>
    </row>
    <row r="260" spans="1:17" x14ac:dyDescent="0.25">
      <c r="A260" s="41">
        <f>IF(G260&lt;&gt;"",1+MAX($A$13:A259),"")</f>
        <v>178</v>
      </c>
      <c r="C260" s="89" t="s">
        <v>274</v>
      </c>
      <c r="D260" s="106" t="s">
        <v>76</v>
      </c>
      <c r="E260">
        <f>E259*10</f>
        <v>2220</v>
      </c>
      <c r="F260" s="91">
        <f>VLOOKUP(H260,'PROJECT SUMMARY'!$C$24:$D$31,2,0)</f>
        <v>0.05</v>
      </c>
      <c r="G260" s="95">
        <f t="shared" ref="G260:G262" si="180">E260*(1+F260)</f>
        <v>2331</v>
      </c>
      <c r="H260" s="89" t="s">
        <v>10</v>
      </c>
      <c r="I260" s="93">
        <v>8.0000000000000002E-3</v>
      </c>
      <c r="J260" s="94">
        <f t="shared" ref="J260:J262" si="181">I260*G260</f>
        <v>18.648</v>
      </c>
      <c r="K260" s="90">
        <v>50</v>
      </c>
      <c r="L260" s="90">
        <f t="shared" ref="L260:L262" si="182">K260*J260</f>
        <v>932.4</v>
      </c>
      <c r="M260" s="90">
        <v>0.02</v>
      </c>
      <c r="N260" s="90">
        <f t="shared" ref="N260:N262" si="183">M260*G260</f>
        <v>46.62</v>
      </c>
      <c r="O260" s="90">
        <f t="shared" ref="O260:O262" si="184">L260+N260</f>
        <v>979.02</v>
      </c>
      <c r="P260" s="92"/>
    </row>
    <row r="261" spans="1:17" x14ac:dyDescent="0.25">
      <c r="A261" s="41">
        <f>IF(G261&lt;&gt;"",1+MAX($A$13:A260),"")</f>
        <v>179</v>
      </c>
      <c r="C261" s="89" t="s">
        <v>274</v>
      </c>
      <c r="D261" s="106" t="s">
        <v>77</v>
      </c>
      <c r="E261">
        <f>E259*32*0.053</f>
        <v>376.512</v>
      </c>
      <c r="F261" s="91">
        <f>VLOOKUP(H261,'PROJECT SUMMARY'!$C$24:$D$31,2,0)</f>
        <v>0.05</v>
      </c>
      <c r="G261" s="95">
        <f t="shared" si="180"/>
        <v>395.33760000000001</v>
      </c>
      <c r="H261" s="89" t="s">
        <v>78</v>
      </c>
      <c r="I261" s="93">
        <v>0.05</v>
      </c>
      <c r="J261" s="94">
        <f t="shared" si="181"/>
        <v>19.76688</v>
      </c>
      <c r="K261" s="90">
        <v>50</v>
      </c>
      <c r="L261" s="90">
        <f t="shared" si="182"/>
        <v>988.34400000000005</v>
      </c>
      <c r="M261" s="90">
        <v>0.5</v>
      </c>
      <c r="N261" s="90">
        <f t="shared" si="183"/>
        <v>197.6688</v>
      </c>
      <c r="O261" s="90">
        <f t="shared" si="184"/>
        <v>1186.0128</v>
      </c>
      <c r="P261" s="92"/>
    </row>
    <row r="262" spans="1:17" x14ac:dyDescent="0.25">
      <c r="A262" s="41">
        <f>IF(G262&lt;&gt;"",1+MAX($A$13:A261),"")</f>
        <v>180</v>
      </c>
      <c r="C262" s="89" t="s">
        <v>274</v>
      </c>
      <c r="D262" s="106" t="s">
        <v>79</v>
      </c>
      <c r="E262">
        <f>E259*45</f>
        <v>9990</v>
      </c>
      <c r="F262" s="91">
        <f>VLOOKUP(H262,'PROJECT SUMMARY'!$C$24:$D$31,2,0)</f>
        <v>0</v>
      </c>
      <c r="G262" s="95">
        <f t="shared" si="180"/>
        <v>9990</v>
      </c>
      <c r="H262" s="89" t="s">
        <v>9</v>
      </c>
      <c r="I262" s="93">
        <v>2E-3</v>
      </c>
      <c r="J262" s="94">
        <f t="shared" si="181"/>
        <v>19.98</v>
      </c>
      <c r="K262" s="90">
        <v>50</v>
      </c>
      <c r="L262" s="90">
        <f t="shared" si="182"/>
        <v>999</v>
      </c>
      <c r="M262" s="90">
        <v>3.0000000000000001E-3</v>
      </c>
      <c r="N262" s="90">
        <f t="shared" si="183"/>
        <v>29.97</v>
      </c>
      <c r="O262" s="90">
        <f t="shared" si="184"/>
        <v>1028.97</v>
      </c>
      <c r="P262" s="92"/>
    </row>
    <row r="263" spans="1:17" x14ac:dyDescent="0.25">
      <c r="A263" s="41" t="str">
        <f>IF(G263&lt;&gt;"",1+MAX($A$13:A262),"")</f>
        <v/>
      </c>
      <c r="D263" s="105"/>
      <c r="E263"/>
      <c r="I263" s="93"/>
      <c r="J263" s="94"/>
      <c r="K263" s="104"/>
      <c r="P263" s="92"/>
    </row>
    <row r="264" spans="1:17" x14ac:dyDescent="0.25">
      <c r="A264" s="41" t="str">
        <f>IF(G264&lt;&gt;"",1+MAX($A$13:A263),"")</f>
        <v/>
      </c>
      <c r="D264" s="103" t="s">
        <v>174</v>
      </c>
      <c r="E264"/>
      <c r="I264" s="93"/>
      <c r="J264" s="94"/>
      <c r="K264" s="104"/>
      <c r="P264" s="92"/>
    </row>
    <row r="265" spans="1:17" x14ac:dyDescent="0.25">
      <c r="A265" s="41">
        <f>IF(G265&lt;&gt;"",1+MAX($A$13:A264),"")</f>
        <v>181</v>
      </c>
      <c r="C265" s="89" t="s">
        <v>274</v>
      </c>
      <c r="D265" s="96" t="s">
        <v>175</v>
      </c>
      <c r="E265" s="100">
        <v>7.06</v>
      </c>
      <c r="F265" s="91">
        <f>VLOOKUP(H265,'PROJECT SUMMARY'!$C$24:$D$31,2,0)</f>
        <v>0.05</v>
      </c>
      <c r="G265" s="95">
        <f t="shared" ref="G265:G267" si="185">E265*(1+F265)</f>
        <v>7.4130000000000003</v>
      </c>
      <c r="H265" s="89" t="s">
        <v>11</v>
      </c>
      <c r="I265" s="93">
        <v>3.5000000000000003E-2</v>
      </c>
      <c r="J265" s="94">
        <f t="shared" ref="J265:J267" si="186">I265*G265</f>
        <v>0.25945500000000005</v>
      </c>
      <c r="K265" s="90">
        <v>52</v>
      </c>
      <c r="L265" s="90">
        <f t="shared" ref="L265:L267" si="187">K265*J265</f>
        <v>13.491660000000003</v>
      </c>
      <c r="M265" s="90">
        <v>2.35</v>
      </c>
      <c r="N265" s="90">
        <f t="shared" ref="N265:N267" si="188">M265*G265</f>
        <v>17.420550000000002</v>
      </c>
      <c r="O265" s="90">
        <f t="shared" ref="O265:O267" si="189">L265+N265</f>
        <v>30.912210000000005</v>
      </c>
      <c r="P265" s="92"/>
    </row>
    <row r="266" spans="1:17" x14ac:dyDescent="0.25">
      <c r="A266" s="41">
        <f>IF(G266&lt;&gt;"",1+MAX($A$13:A265),"")</f>
        <v>182</v>
      </c>
      <c r="C266" s="89" t="s">
        <v>274</v>
      </c>
      <c r="D266" s="96" t="s">
        <v>176</v>
      </c>
      <c r="E266" s="100">
        <f>2898.81+21.91*8</f>
        <v>3074.09</v>
      </c>
      <c r="F266" s="91">
        <f>VLOOKUP(H266,'PROJECT SUMMARY'!$C$24:$D$31,2,0)</f>
        <v>0.05</v>
      </c>
      <c r="G266" s="95">
        <f t="shared" si="185"/>
        <v>3227.7945000000004</v>
      </c>
      <c r="H266" s="89" t="s">
        <v>11</v>
      </c>
      <c r="I266" s="93">
        <v>7.4999999999999997E-2</v>
      </c>
      <c r="J266" s="94">
        <f t="shared" si="186"/>
        <v>242.08458750000003</v>
      </c>
      <c r="K266" s="90">
        <v>52</v>
      </c>
      <c r="L266" s="90">
        <f t="shared" si="187"/>
        <v>12588.398550000002</v>
      </c>
      <c r="M266" s="90">
        <v>2.5</v>
      </c>
      <c r="N266" s="90">
        <f t="shared" si="188"/>
        <v>8069.4862500000008</v>
      </c>
      <c r="O266" s="90">
        <f t="shared" si="189"/>
        <v>20657.884800000003</v>
      </c>
      <c r="P266" s="92"/>
    </row>
    <row r="267" spans="1:17" x14ac:dyDescent="0.25">
      <c r="A267" s="41">
        <f>IF(G267&lt;&gt;"",1+MAX($A$13:A266),"")</f>
        <v>183</v>
      </c>
      <c r="C267" s="89" t="s">
        <v>274</v>
      </c>
      <c r="D267" s="96" t="s">
        <v>177</v>
      </c>
      <c r="E267" s="100">
        <v>488.13</v>
      </c>
      <c r="F267" s="91">
        <f>VLOOKUP(H267,'PROJECT SUMMARY'!$C$24:$D$31,2,0)</f>
        <v>0.05</v>
      </c>
      <c r="G267" s="95">
        <f t="shared" si="185"/>
        <v>512.53650000000005</v>
      </c>
      <c r="H267" s="89" t="s">
        <v>10</v>
      </c>
      <c r="I267" s="93">
        <v>4.2000000000000003E-2</v>
      </c>
      <c r="J267" s="94">
        <f t="shared" si="186"/>
        <v>21.526533000000004</v>
      </c>
      <c r="K267" s="90">
        <v>52</v>
      </c>
      <c r="L267" s="90">
        <f t="shared" si="187"/>
        <v>1119.3797160000001</v>
      </c>
      <c r="M267" s="90">
        <v>3.12</v>
      </c>
      <c r="N267" s="90">
        <f t="shared" si="188"/>
        <v>1599.1138800000001</v>
      </c>
      <c r="O267" s="90">
        <f t="shared" si="189"/>
        <v>2718.4935960000003</v>
      </c>
      <c r="P267" s="92"/>
    </row>
    <row r="268" spans="1:17" x14ac:dyDescent="0.25">
      <c r="A268" s="41" t="str">
        <f>IF(G268&lt;&gt;"",1+MAX($A$13:A267),"")</f>
        <v/>
      </c>
      <c r="D268" s="105"/>
      <c r="E268"/>
      <c r="I268" s="93"/>
      <c r="J268" s="94"/>
      <c r="K268" s="104"/>
      <c r="P268" s="92"/>
    </row>
    <row r="269" spans="1:17" x14ac:dyDescent="0.25">
      <c r="A269" s="41" t="str">
        <f>IF(G269&lt;&gt;"",1+MAX($A$13:A268),"")</f>
        <v/>
      </c>
      <c r="D269" s="103" t="s">
        <v>178</v>
      </c>
      <c r="E269"/>
      <c r="I269" s="93"/>
      <c r="J269" s="94"/>
      <c r="K269" s="104"/>
      <c r="P269" s="92"/>
    </row>
    <row r="270" spans="1:17" x14ac:dyDescent="0.25">
      <c r="A270" s="41">
        <f>IF(G270&lt;&gt;"",1+MAX($A$13:A269),"")</f>
        <v>184</v>
      </c>
      <c r="C270" s="89" t="s">
        <v>274</v>
      </c>
      <c r="D270" s="96" t="s">
        <v>179</v>
      </c>
      <c r="E270" s="100">
        <f>199.29*11+736.9*10+14*55.42-7*120</f>
        <v>9497.07</v>
      </c>
      <c r="F270" s="91">
        <f>VLOOKUP(H270,'PROJECT SUMMARY'!$C$24:$D$31,2,0)</f>
        <v>0.05</v>
      </c>
      <c r="G270" s="95">
        <f t="shared" ref="G270" si="190">E270*(1+F270)</f>
        <v>9971.9235000000008</v>
      </c>
      <c r="H270" s="89" t="s">
        <v>11</v>
      </c>
      <c r="I270" s="93">
        <v>1.7999999999999999E-2</v>
      </c>
      <c r="J270" s="94">
        <f t="shared" ref="J270" si="191">I270*G270</f>
        <v>179.49462299999999</v>
      </c>
      <c r="K270" s="90">
        <v>39</v>
      </c>
      <c r="L270" s="90">
        <f>K270*J270</f>
        <v>7000.2902969999996</v>
      </c>
      <c r="M270" s="90">
        <v>0.4</v>
      </c>
      <c r="N270" s="90">
        <f>M270*G270</f>
        <v>3988.7694000000006</v>
      </c>
      <c r="O270" s="90">
        <f t="shared" ref="O270" si="192">L270+N270</f>
        <v>10989.059697000001</v>
      </c>
      <c r="P270" s="92"/>
    </row>
    <row r="271" spans="1:17" x14ac:dyDescent="0.25">
      <c r="A271" s="41" t="str">
        <f>IF(G271&lt;&gt;"",1+MAX($A$13:A270),"")</f>
        <v/>
      </c>
      <c r="D271" s="105"/>
      <c r="E271"/>
      <c r="I271" s="93"/>
      <c r="J271" s="94"/>
      <c r="K271" s="104"/>
      <c r="P271" s="92"/>
    </row>
    <row r="272" spans="1:17" x14ac:dyDescent="0.25">
      <c r="A272" s="41" t="str">
        <f>IF(G272&lt;&gt;"",1+MAX($A$13:A271),"")</f>
        <v/>
      </c>
      <c r="D272" s="103" t="s">
        <v>180</v>
      </c>
      <c r="E272"/>
      <c r="I272" s="93"/>
      <c r="J272" s="94"/>
      <c r="K272" s="104"/>
      <c r="P272" s="92"/>
    </row>
    <row r="273" spans="1:16" x14ac:dyDescent="0.25">
      <c r="A273" s="41">
        <f>IF(G273&lt;&gt;"",1+MAX($A$13:A272),"")</f>
        <v>185</v>
      </c>
      <c r="C273" s="89" t="s">
        <v>274</v>
      </c>
      <c r="D273" s="96" t="s">
        <v>181</v>
      </c>
      <c r="E273" s="100">
        <f>7*120</f>
        <v>840</v>
      </c>
      <c r="F273" s="91">
        <f>VLOOKUP(H273,'PROJECT SUMMARY'!$C$24:$D$31,2,0)</f>
        <v>0.05</v>
      </c>
      <c r="G273" s="95">
        <f t="shared" ref="G273" si="193">E273*(1+F273)</f>
        <v>882</v>
      </c>
      <c r="H273" s="89" t="s">
        <v>11</v>
      </c>
      <c r="I273" s="93">
        <v>7.4999999999999997E-2</v>
      </c>
      <c r="J273" s="94">
        <f t="shared" ref="J273" si="194">I273*G273</f>
        <v>66.149999999999991</v>
      </c>
      <c r="K273" s="90">
        <v>52</v>
      </c>
      <c r="L273" s="90">
        <f>K273*J273</f>
        <v>3439.7999999999997</v>
      </c>
      <c r="M273" s="90">
        <v>4.75</v>
      </c>
      <c r="N273" s="90">
        <f>M273*G273</f>
        <v>4189.5</v>
      </c>
      <c r="O273" s="90">
        <f t="shared" ref="O273" si="195">L273+N273</f>
        <v>7629.2999999999993</v>
      </c>
      <c r="P273" s="92"/>
    </row>
    <row r="274" spans="1:16" x14ac:dyDescent="0.25">
      <c r="A274" s="41" t="str">
        <f>IF(G274&lt;&gt;"",1+MAX($A$13:A273),"")</f>
        <v/>
      </c>
      <c r="D274" s="105"/>
      <c r="E274"/>
      <c r="I274" s="93"/>
      <c r="J274" s="94"/>
      <c r="K274" s="104"/>
      <c r="P274" s="92"/>
    </row>
    <row r="275" spans="1:16" x14ac:dyDescent="0.25">
      <c r="A275" s="41" t="str">
        <f>IF(G275&lt;&gt;"",1+MAX($A$13:A274),"")</f>
        <v/>
      </c>
      <c r="D275" s="103" t="s">
        <v>182</v>
      </c>
      <c r="E275"/>
      <c r="I275" s="93"/>
      <c r="J275" s="94"/>
      <c r="K275" s="104"/>
      <c r="P275" s="92"/>
    </row>
    <row r="276" spans="1:16" x14ac:dyDescent="0.25">
      <c r="A276" s="41">
        <f>IF(G276&lt;&gt;"",1+MAX($A$13:A275),"")</f>
        <v>186</v>
      </c>
      <c r="C276" s="89" t="s">
        <v>274</v>
      </c>
      <c r="D276" s="96" t="s">
        <v>183</v>
      </c>
      <c r="E276" s="100">
        <v>241.48</v>
      </c>
      <c r="F276" s="91">
        <f>VLOOKUP(H276,'PROJECT SUMMARY'!$C$24:$D$31,2,0)</f>
        <v>0.05</v>
      </c>
      <c r="G276" s="95">
        <f t="shared" ref="G276" si="196">E276*(1+F276)</f>
        <v>253.554</v>
      </c>
      <c r="H276" s="89" t="s">
        <v>11</v>
      </c>
      <c r="I276" s="93">
        <v>0.09</v>
      </c>
      <c r="J276" s="94">
        <f t="shared" ref="J276" si="197">I276*G276</f>
        <v>22.819859999999998</v>
      </c>
      <c r="K276" s="90">
        <v>52</v>
      </c>
      <c r="L276" s="90">
        <f>K276*J276</f>
        <v>1186.6327199999998</v>
      </c>
      <c r="M276" s="90">
        <v>3.8</v>
      </c>
      <c r="N276" s="90">
        <f>M276*G276</f>
        <v>963.50519999999995</v>
      </c>
      <c r="O276" s="90">
        <f t="shared" ref="O276" si="198">L276+N276</f>
        <v>2150.1379199999997</v>
      </c>
      <c r="P276" s="92"/>
    </row>
    <row r="277" spans="1:16" x14ac:dyDescent="0.25">
      <c r="A277" s="41" t="str">
        <f>IF(G277&lt;&gt;"",1+MAX($A$13:A276),"")</f>
        <v/>
      </c>
      <c r="D277" s="105"/>
      <c r="E277"/>
      <c r="I277" s="93"/>
      <c r="J277" s="94"/>
      <c r="K277" s="104"/>
      <c r="P277" s="92"/>
    </row>
    <row r="278" spans="1:16" x14ac:dyDescent="0.25">
      <c r="A278" s="41" t="str">
        <f>IF(G278&lt;&gt;"",1+MAX($A$13:A277),"")</f>
        <v/>
      </c>
      <c r="D278" s="103" t="s">
        <v>184</v>
      </c>
      <c r="E278"/>
      <c r="I278" s="93"/>
      <c r="J278" s="94"/>
      <c r="K278" s="104"/>
      <c r="P278" s="92"/>
    </row>
    <row r="279" spans="1:16" x14ac:dyDescent="0.25">
      <c r="A279" s="41">
        <f>IF(G279&lt;&gt;"",1+MAX($A$13:A278),"")</f>
        <v>187</v>
      </c>
      <c r="C279" s="89" t="s">
        <v>274</v>
      </c>
      <c r="D279" s="96" t="s">
        <v>291</v>
      </c>
      <c r="E279" s="100">
        <v>3501</v>
      </c>
      <c r="F279" s="91">
        <f>VLOOKUP(H279,'PROJECT SUMMARY'!$C$24:$D$31,2,0)</f>
        <v>0.05</v>
      </c>
      <c r="G279" s="95">
        <f t="shared" ref="G279" si="199">E279*(1+F279)</f>
        <v>3676.05</v>
      </c>
      <c r="H279" s="89" t="s">
        <v>11</v>
      </c>
      <c r="I279" s="93">
        <v>0.04</v>
      </c>
      <c r="J279" s="94">
        <f t="shared" ref="J279" si="200">I279*G279</f>
        <v>147.042</v>
      </c>
      <c r="K279" s="90">
        <v>52</v>
      </c>
      <c r="L279" s="90">
        <f t="shared" ref="L279" si="201">K279*J279</f>
        <v>7646.1840000000002</v>
      </c>
      <c r="M279" s="90">
        <v>3.21</v>
      </c>
      <c r="N279" s="90">
        <f t="shared" ref="N279" si="202">M279*G279</f>
        <v>11800.120500000001</v>
      </c>
      <c r="O279" s="90">
        <f t="shared" ref="O279" si="203">L279+N279</f>
        <v>19446.304500000002</v>
      </c>
      <c r="P279" s="92"/>
    </row>
    <row r="280" spans="1:16" x14ac:dyDescent="0.25">
      <c r="A280" s="41" t="str">
        <f>IF(G280&lt;&gt;"",1+MAX($A$13:A279),"")</f>
        <v/>
      </c>
      <c r="D280" s="105"/>
      <c r="E280"/>
      <c r="I280" s="93"/>
      <c r="J280" s="94"/>
      <c r="K280" s="104"/>
      <c r="P280" s="92"/>
    </row>
    <row r="281" spans="1:16" x14ac:dyDescent="0.25">
      <c r="A281" s="41" t="str">
        <f>IF(G281&lt;&gt;"",1+MAX($A$13:A280),"")</f>
        <v/>
      </c>
      <c r="D281" s="103" t="s">
        <v>185</v>
      </c>
      <c r="E281"/>
      <c r="I281" s="93"/>
      <c r="J281" s="94"/>
      <c r="K281" s="104"/>
      <c r="P281" s="92"/>
    </row>
    <row r="282" spans="1:16" x14ac:dyDescent="0.25">
      <c r="A282" s="41">
        <f>IF(G282&lt;&gt;"",1+MAX($A$13:A281),"")</f>
        <v>188</v>
      </c>
      <c r="C282" s="89" t="s">
        <v>274</v>
      </c>
      <c r="D282" s="96" t="s">
        <v>292</v>
      </c>
      <c r="E282" s="100">
        <v>860</v>
      </c>
      <c r="F282" s="91">
        <f>VLOOKUP(H282,'PROJECT SUMMARY'!$C$24:$D$31,2,0)</f>
        <v>0.05</v>
      </c>
      <c r="G282" s="95">
        <f t="shared" ref="G282" si="204">E282*(1+F282)</f>
        <v>903</v>
      </c>
      <c r="H282" s="89" t="s">
        <v>10</v>
      </c>
      <c r="I282" s="93">
        <v>2.5000000000000001E-2</v>
      </c>
      <c r="J282" s="94">
        <f t="shared" ref="J282" si="205">I282*G282</f>
        <v>22.575000000000003</v>
      </c>
      <c r="K282" s="90">
        <v>52</v>
      </c>
      <c r="L282" s="90">
        <f t="shared" ref="L282" si="206">K282*J282</f>
        <v>1173.9000000000001</v>
      </c>
      <c r="M282" s="90">
        <v>1.81</v>
      </c>
      <c r="N282" s="90">
        <f t="shared" ref="N282" si="207">M282*G282</f>
        <v>1634.43</v>
      </c>
      <c r="O282" s="90">
        <f t="shared" ref="O282" si="208">L282+N282</f>
        <v>2808.33</v>
      </c>
      <c r="P282" s="92"/>
    </row>
    <row r="283" spans="1:16" x14ac:dyDescent="0.25">
      <c r="A283" s="41" t="str">
        <f>IF(G283&lt;&gt;"",1+MAX($A$13:A282),"")</f>
        <v/>
      </c>
      <c r="D283" s="96"/>
      <c r="E283" s="100"/>
      <c r="I283" s="93"/>
      <c r="J283" s="94"/>
      <c r="P283" s="92"/>
    </row>
    <row r="284" spans="1:16" x14ac:dyDescent="0.25">
      <c r="A284" s="41" t="str">
        <f>IF(G284&lt;&gt;"",1+MAX($A$13:A283),"")</f>
        <v/>
      </c>
      <c r="D284" s="103" t="s">
        <v>186</v>
      </c>
      <c r="E284"/>
      <c r="I284" s="93"/>
      <c r="J284" s="94"/>
      <c r="K284" s="104"/>
      <c r="P284" s="92"/>
    </row>
    <row r="285" spans="1:16" x14ac:dyDescent="0.25">
      <c r="A285" s="41">
        <f>IF(G285&lt;&gt;"",1+MAX($A$13:A284),"")</f>
        <v>189</v>
      </c>
      <c r="C285" s="89" t="s">
        <v>274</v>
      </c>
      <c r="D285" s="96" t="s">
        <v>73</v>
      </c>
      <c r="E285" s="100">
        <f>5236.94+366+1028+122</f>
        <v>6752.94</v>
      </c>
      <c r="F285" s="91">
        <f>VLOOKUP(H285,'PROJECT SUMMARY'!$C$24:$D$31,2,0)</f>
        <v>0.05</v>
      </c>
      <c r="G285" s="95">
        <f t="shared" ref="G285:G286" si="209">E285*(1+F285)</f>
        <v>7090.5869999999995</v>
      </c>
      <c r="H285" s="89" t="s">
        <v>11</v>
      </c>
      <c r="I285" s="93">
        <v>1.1875E-2</v>
      </c>
      <c r="J285" s="94">
        <f t="shared" ref="J285:J286" si="210">I285*G285</f>
        <v>84.200720625000002</v>
      </c>
      <c r="K285" s="90">
        <v>50</v>
      </c>
      <c r="L285" s="90">
        <f t="shared" ref="L285:L286" si="211">K285*J285</f>
        <v>4210.0360312499997</v>
      </c>
      <c r="M285" s="90">
        <v>0.44</v>
      </c>
      <c r="N285" s="90">
        <f t="shared" ref="N285:N286" si="212">M285*G285</f>
        <v>3119.8582799999999</v>
      </c>
      <c r="O285" s="90">
        <f t="shared" ref="O285:O286" si="213">L285+N285</f>
        <v>7329.8943112500001</v>
      </c>
      <c r="P285" s="92"/>
    </row>
    <row r="286" spans="1:16" x14ac:dyDescent="0.25">
      <c r="A286" s="41">
        <f>IF(G286&lt;&gt;"",1+MAX($A$13:A285),"")</f>
        <v>190</v>
      </c>
      <c r="C286" s="89" t="s">
        <v>274</v>
      </c>
      <c r="D286" s="96" t="s">
        <v>74</v>
      </c>
      <c r="E286" s="100">
        <f>41.64*4</f>
        <v>166.56</v>
      </c>
      <c r="F286" s="91">
        <f>VLOOKUP(H286,'PROJECT SUMMARY'!$C$24:$D$31,2,0)</f>
        <v>0.05</v>
      </c>
      <c r="G286" s="95">
        <f t="shared" si="209"/>
        <v>174.88800000000001</v>
      </c>
      <c r="H286" s="89" t="s">
        <v>11</v>
      </c>
      <c r="I286" s="93">
        <v>1.1875E-2</v>
      </c>
      <c r="J286" s="94">
        <f t="shared" si="210"/>
        <v>2.0767950000000002</v>
      </c>
      <c r="K286" s="90">
        <v>50</v>
      </c>
      <c r="L286" s="90">
        <f t="shared" si="211"/>
        <v>103.83975000000001</v>
      </c>
      <c r="M286" s="90">
        <v>0.44</v>
      </c>
      <c r="N286" s="90">
        <f t="shared" si="212"/>
        <v>76.950720000000004</v>
      </c>
      <c r="O286" s="90">
        <f t="shared" si="213"/>
        <v>180.79047000000003</v>
      </c>
      <c r="P286" s="92"/>
    </row>
    <row r="287" spans="1:16" x14ac:dyDescent="0.25">
      <c r="A287" s="41" t="str">
        <f>IF(G287&lt;&gt;"",1+MAX($A$13:A286),"")</f>
        <v/>
      </c>
      <c r="D287" s="96"/>
      <c r="E287" s="100"/>
      <c r="I287" s="93"/>
      <c r="J287" s="94"/>
      <c r="P287" s="92"/>
    </row>
    <row r="288" spans="1:16" x14ac:dyDescent="0.25">
      <c r="A288" s="41" t="str">
        <f>IF(G288&lt;&gt;"",1+MAX($A$13:A287),"")</f>
        <v/>
      </c>
      <c r="D288" s="103" t="s">
        <v>187</v>
      </c>
      <c r="E288"/>
      <c r="I288" s="93"/>
      <c r="J288" s="94"/>
      <c r="K288" s="104"/>
      <c r="P288" s="92"/>
    </row>
    <row r="289" spans="1:16" x14ac:dyDescent="0.25">
      <c r="A289" s="41">
        <f>IF(G289&lt;&gt;"",1+MAX($A$13:A288),"")</f>
        <v>191</v>
      </c>
      <c r="C289" s="89" t="s">
        <v>274</v>
      </c>
      <c r="D289" s="96" t="s">
        <v>293</v>
      </c>
      <c r="E289" s="100">
        <v>25</v>
      </c>
      <c r="F289" s="91">
        <f>VLOOKUP(H289,'PROJECT SUMMARY'!$C$24:$D$31,2,0)</f>
        <v>0</v>
      </c>
      <c r="G289" s="95">
        <f t="shared" ref="G289" si="214">E289*(1+F289)</f>
        <v>25</v>
      </c>
      <c r="H289" s="89" t="s">
        <v>9</v>
      </c>
      <c r="I289" s="93">
        <v>1.06</v>
      </c>
      <c r="J289" s="94">
        <f t="shared" ref="J289" si="215">I289*G289</f>
        <v>26.5</v>
      </c>
      <c r="K289" s="90">
        <v>39</v>
      </c>
      <c r="L289" s="90">
        <f t="shared" ref="L289" si="216">K289*J289</f>
        <v>1033.5</v>
      </c>
      <c r="M289" s="90">
        <v>32.6</v>
      </c>
      <c r="N289" s="90">
        <f t="shared" ref="N289" si="217">M289*G289</f>
        <v>815</v>
      </c>
      <c r="O289" s="90">
        <f t="shared" ref="O289" si="218">L289+N289</f>
        <v>1848.5</v>
      </c>
      <c r="P289" s="92"/>
    </row>
    <row r="290" spans="1:16" x14ac:dyDescent="0.25">
      <c r="A290" s="41" t="str">
        <f>IF(G290&lt;&gt;"",1+MAX($A$13:A289),"")</f>
        <v/>
      </c>
      <c r="D290" s="96"/>
      <c r="E290" s="100"/>
      <c r="I290" s="93"/>
      <c r="J290" s="94"/>
      <c r="P290" s="92"/>
    </row>
    <row r="291" spans="1:16" x14ac:dyDescent="0.25">
      <c r="A291" s="41">
        <f>IF(G291&lt;&gt;"",1+MAX($A$13:A290),"")</f>
        <v>192</v>
      </c>
      <c r="C291" s="89" t="s">
        <v>274</v>
      </c>
      <c r="D291" s="96" t="s">
        <v>188</v>
      </c>
      <c r="E291" s="100">
        <v>1190</v>
      </c>
      <c r="F291" s="91">
        <f>VLOOKUP(H291,'PROJECT SUMMARY'!$C$24:$D$31,2,0)</f>
        <v>0.05</v>
      </c>
      <c r="G291" s="95">
        <f t="shared" ref="G291:G292" si="219">E291*(1+F291)</f>
        <v>1249.5</v>
      </c>
      <c r="H291" s="89" t="s">
        <v>10</v>
      </c>
      <c r="I291" s="93">
        <v>2.8000000000000001E-2</v>
      </c>
      <c r="J291" s="94">
        <f t="shared" ref="J291:J292" si="220">I291*G291</f>
        <v>34.986000000000004</v>
      </c>
      <c r="K291" s="90">
        <v>52</v>
      </c>
      <c r="L291" s="90">
        <f t="shared" ref="L291:L292" si="221">K291*J291</f>
        <v>1819.2720000000002</v>
      </c>
      <c r="M291" s="90">
        <v>1.18</v>
      </c>
      <c r="N291" s="90">
        <f t="shared" ref="N291:N292" si="222">M291*G291</f>
        <v>1474.4099999999999</v>
      </c>
      <c r="O291" s="90">
        <f t="shared" ref="O291:O292" si="223">L291+N291</f>
        <v>3293.6819999999998</v>
      </c>
      <c r="P291" s="92"/>
    </row>
    <row r="292" spans="1:16" x14ac:dyDescent="0.25">
      <c r="A292" s="41">
        <f>IF(G292&lt;&gt;"",1+MAX($A$13:A291),"")</f>
        <v>193</v>
      </c>
      <c r="C292" s="89" t="s">
        <v>274</v>
      </c>
      <c r="D292" s="96" t="s">
        <v>189</v>
      </c>
      <c r="E292" s="100">
        <v>1190</v>
      </c>
      <c r="F292" s="91">
        <f>VLOOKUP(H292,'PROJECT SUMMARY'!$C$24:$D$31,2,0)</f>
        <v>0.05</v>
      </c>
      <c r="G292" s="95">
        <f t="shared" si="219"/>
        <v>1249.5</v>
      </c>
      <c r="H292" s="89" t="s">
        <v>10</v>
      </c>
      <c r="I292" s="93">
        <v>1.4999999999999999E-2</v>
      </c>
      <c r="J292" s="94">
        <f t="shared" si="220"/>
        <v>18.7425</v>
      </c>
      <c r="K292" s="90">
        <v>39</v>
      </c>
      <c r="L292" s="90">
        <f t="shared" si="221"/>
        <v>730.95749999999998</v>
      </c>
      <c r="M292" s="90">
        <v>0.7</v>
      </c>
      <c r="N292" s="90">
        <f t="shared" si="222"/>
        <v>874.65</v>
      </c>
      <c r="O292" s="90">
        <f t="shared" si="223"/>
        <v>1605.6075000000001</v>
      </c>
      <c r="P292" s="92"/>
    </row>
    <row r="293" spans="1:16" ht="16.5" thickBot="1" x14ac:dyDescent="0.3">
      <c r="A293" s="41" t="str">
        <f>IF(G293&lt;&gt;"",1+MAX($A$13:A292),"")</f>
        <v/>
      </c>
      <c r="D293" s="105"/>
      <c r="E293"/>
      <c r="I293" s="93"/>
      <c r="J293" s="94"/>
      <c r="K293" s="104"/>
      <c r="P293" s="92"/>
    </row>
    <row r="294" spans="1:16" ht="16.5" thickBot="1" x14ac:dyDescent="0.3">
      <c r="A294" s="73" t="str">
        <f>IF(G294&lt;&gt;"",1+MAX($A$13:A293),"")</f>
        <v/>
      </c>
      <c r="B294" s="69"/>
      <c r="C294" s="69" t="s">
        <v>282</v>
      </c>
      <c r="D294" s="67" t="s">
        <v>190</v>
      </c>
      <c r="E294" s="71"/>
      <c r="F294" s="72"/>
      <c r="G294" s="71"/>
      <c r="H294" s="71"/>
      <c r="I294" s="67"/>
      <c r="J294" s="67"/>
      <c r="K294" s="68"/>
      <c r="L294" s="68"/>
      <c r="M294" s="68"/>
      <c r="N294" s="68"/>
      <c r="O294" s="70"/>
      <c r="P294" s="74">
        <f>SUM(O295:O300)</f>
        <v>1274.9499999999998</v>
      </c>
    </row>
    <row r="295" spans="1:16" x14ac:dyDescent="0.25">
      <c r="A295" s="41" t="str">
        <f>IF(G295&lt;&gt;"",1+MAX($A$13:A294),"")</f>
        <v/>
      </c>
      <c r="D295"/>
      <c r="E295"/>
      <c r="I295" s="93"/>
      <c r="J295" s="94"/>
      <c r="K295" s="104"/>
      <c r="P295" s="92"/>
    </row>
    <row r="296" spans="1:16" x14ac:dyDescent="0.25">
      <c r="A296" s="41">
        <f>IF(G296&lt;&gt;"",1+MAX($A$13:A295),"")</f>
        <v>194</v>
      </c>
      <c r="C296" s="89" t="s">
        <v>282</v>
      </c>
      <c r="D296" s="96" t="s">
        <v>191</v>
      </c>
      <c r="E296" s="100">
        <v>4</v>
      </c>
      <c r="F296" s="91">
        <f>VLOOKUP(H296,'PROJECT SUMMARY'!$C$24:$D$31,2,0)</f>
        <v>0</v>
      </c>
      <c r="G296" s="95">
        <f t="shared" ref="G296:G299" si="224">E296*(1+F296)</f>
        <v>4</v>
      </c>
      <c r="H296" s="89" t="s">
        <v>9</v>
      </c>
      <c r="I296" s="93">
        <v>0.38</v>
      </c>
      <c r="J296" s="94">
        <f t="shared" ref="J296:J299" si="225">I296*G296</f>
        <v>1.52</v>
      </c>
      <c r="K296" s="90">
        <v>50</v>
      </c>
      <c r="L296" s="90">
        <f t="shared" ref="L296:L299" si="226">K296*J296</f>
        <v>76</v>
      </c>
      <c r="M296" s="90">
        <v>31.95</v>
      </c>
      <c r="N296" s="90">
        <f t="shared" ref="N296:N299" si="227">M296*G296</f>
        <v>127.8</v>
      </c>
      <c r="O296" s="90">
        <f t="shared" ref="O296:O299" si="228">L296+N296</f>
        <v>203.8</v>
      </c>
      <c r="P296" s="92"/>
    </row>
    <row r="297" spans="1:16" x14ac:dyDescent="0.25">
      <c r="A297" s="41">
        <f>IF(G297&lt;&gt;"",1+MAX($A$13:A296),"")</f>
        <v>195</v>
      </c>
      <c r="C297" s="89" t="s">
        <v>282</v>
      </c>
      <c r="D297" s="96" t="s">
        <v>192</v>
      </c>
      <c r="E297" s="100">
        <v>5</v>
      </c>
      <c r="F297" s="91">
        <f>VLOOKUP(H297,'PROJECT SUMMARY'!$C$24:$D$31,2,0)</f>
        <v>0</v>
      </c>
      <c r="G297" s="95">
        <f t="shared" si="224"/>
        <v>5</v>
      </c>
      <c r="H297" s="89" t="s">
        <v>9</v>
      </c>
      <c r="I297" s="93">
        <v>0.52</v>
      </c>
      <c r="J297" s="94">
        <f t="shared" si="225"/>
        <v>2.6</v>
      </c>
      <c r="K297" s="90">
        <v>50</v>
      </c>
      <c r="L297" s="90">
        <f t="shared" si="226"/>
        <v>130</v>
      </c>
      <c r="M297" s="90">
        <v>42.16</v>
      </c>
      <c r="N297" s="90">
        <f t="shared" si="227"/>
        <v>210.79999999999998</v>
      </c>
      <c r="O297" s="90">
        <f t="shared" si="228"/>
        <v>340.79999999999995</v>
      </c>
      <c r="P297" s="92"/>
    </row>
    <row r="298" spans="1:16" x14ac:dyDescent="0.25">
      <c r="A298" s="41">
        <f>IF(G298&lt;&gt;"",1+MAX($A$13:A297),"")</f>
        <v>196</v>
      </c>
      <c r="C298" s="89" t="s">
        <v>282</v>
      </c>
      <c r="D298" s="96" t="s">
        <v>193</v>
      </c>
      <c r="E298" s="100">
        <v>4</v>
      </c>
      <c r="F298" s="91">
        <f>VLOOKUP(H298,'PROJECT SUMMARY'!$C$24:$D$31,2,0)</f>
        <v>0</v>
      </c>
      <c r="G298" s="95">
        <f t="shared" si="224"/>
        <v>4</v>
      </c>
      <c r="H298" s="89" t="s">
        <v>9</v>
      </c>
      <c r="I298" s="93">
        <v>0.65</v>
      </c>
      <c r="J298" s="94">
        <f t="shared" si="225"/>
        <v>2.6</v>
      </c>
      <c r="K298" s="90">
        <v>50</v>
      </c>
      <c r="L298" s="90">
        <f t="shared" si="226"/>
        <v>130</v>
      </c>
      <c r="M298" s="90">
        <v>38.700000000000003</v>
      </c>
      <c r="N298" s="90">
        <f t="shared" si="227"/>
        <v>154.80000000000001</v>
      </c>
      <c r="O298" s="90">
        <f t="shared" si="228"/>
        <v>284.8</v>
      </c>
      <c r="P298" s="92"/>
    </row>
    <row r="299" spans="1:16" x14ac:dyDescent="0.25">
      <c r="A299" s="41">
        <f>IF(G299&lt;&gt;"",1+MAX($A$13:A298),"")</f>
        <v>197</v>
      </c>
      <c r="C299" s="89" t="s">
        <v>282</v>
      </c>
      <c r="D299" s="96" t="s">
        <v>194</v>
      </c>
      <c r="E299" s="100">
        <v>5</v>
      </c>
      <c r="F299" s="91">
        <f>VLOOKUP(H299,'PROJECT SUMMARY'!$C$24:$D$31,2,0)</f>
        <v>0</v>
      </c>
      <c r="G299" s="95">
        <f t="shared" si="224"/>
        <v>5</v>
      </c>
      <c r="H299" s="89" t="s">
        <v>9</v>
      </c>
      <c r="I299" s="93">
        <v>0.74</v>
      </c>
      <c r="J299" s="94">
        <f t="shared" si="225"/>
        <v>3.7</v>
      </c>
      <c r="K299" s="90">
        <v>50</v>
      </c>
      <c r="L299" s="90">
        <f t="shared" si="226"/>
        <v>185</v>
      </c>
      <c r="M299" s="90">
        <v>52.11</v>
      </c>
      <c r="N299" s="90">
        <f t="shared" si="227"/>
        <v>260.55</v>
      </c>
      <c r="O299" s="90">
        <f t="shared" si="228"/>
        <v>445.55</v>
      </c>
      <c r="P299" s="92"/>
    </row>
    <row r="300" spans="1:16" ht="16.5" thickBot="1" x14ac:dyDescent="0.3">
      <c r="A300" s="41" t="str">
        <f>IF(G300&lt;&gt;"",1+MAX($A$13:A299),"")</f>
        <v/>
      </c>
      <c r="D300" s="105"/>
      <c r="E300"/>
      <c r="I300" s="93"/>
      <c r="J300" s="94"/>
      <c r="K300" s="104"/>
      <c r="P300" s="92"/>
    </row>
    <row r="301" spans="1:16" ht="16.5" thickBot="1" x14ac:dyDescent="0.3">
      <c r="A301" s="73" t="str">
        <f>IF(G301&lt;&gt;"",1+MAX($A$13:A300),"")</f>
        <v/>
      </c>
      <c r="B301" s="69"/>
      <c r="C301" s="69" t="s">
        <v>284</v>
      </c>
      <c r="D301" s="67" t="s">
        <v>283</v>
      </c>
      <c r="E301" s="71"/>
      <c r="F301" s="72"/>
      <c r="G301" s="71"/>
      <c r="H301" s="71"/>
      <c r="I301" s="67"/>
      <c r="J301" s="67"/>
      <c r="K301" s="68"/>
      <c r="L301" s="68"/>
      <c r="M301" s="68"/>
      <c r="N301" s="68"/>
      <c r="O301" s="70"/>
      <c r="P301" s="74">
        <f>SUM(O302:O309)</f>
        <v>8953.2000000000007</v>
      </c>
    </row>
    <row r="302" spans="1:16" x14ac:dyDescent="0.25">
      <c r="A302" s="41" t="str">
        <f>IF(G302&lt;&gt;"",1+MAX($A$13:A301),"")</f>
        <v/>
      </c>
      <c r="D302"/>
      <c r="E302"/>
      <c r="I302" s="93"/>
      <c r="J302" s="94"/>
      <c r="K302" s="104"/>
      <c r="P302" s="92"/>
    </row>
    <row r="303" spans="1:16" x14ac:dyDescent="0.25">
      <c r="A303" s="41">
        <f>IF(G303&lt;&gt;"",1+MAX($A$13:A302),"")</f>
        <v>198</v>
      </c>
      <c r="C303" s="89" t="s">
        <v>284</v>
      </c>
      <c r="D303" s="96" t="s">
        <v>195</v>
      </c>
      <c r="E303" s="100">
        <v>2</v>
      </c>
      <c r="F303" s="91">
        <f>VLOOKUP(H303,'PROJECT SUMMARY'!$C$24:$D$31,2,0)</f>
        <v>0</v>
      </c>
      <c r="G303" s="95">
        <f t="shared" ref="G303:G308" si="229">E303*(1+F303)</f>
        <v>2</v>
      </c>
      <c r="H303" s="89" t="s">
        <v>9</v>
      </c>
      <c r="I303" s="93">
        <v>4.95</v>
      </c>
      <c r="J303" s="94">
        <f t="shared" ref="J303:J308" si="230">I303*G303</f>
        <v>9.9</v>
      </c>
      <c r="K303" s="90">
        <v>50</v>
      </c>
      <c r="L303" s="90">
        <f t="shared" ref="L303:L308" si="231">K303*J303</f>
        <v>495</v>
      </c>
      <c r="M303" s="90">
        <v>888</v>
      </c>
      <c r="N303" s="90">
        <f t="shared" ref="N303:N308" si="232">M303*G303</f>
        <v>1776</v>
      </c>
      <c r="O303" s="90">
        <f t="shared" ref="O303:O308" si="233">L303+N303</f>
        <v>2271</v>
      </c>
      <c r="P303" s="92"/>
    </row>
    <row r="304" spans="1:16" x14ac:dyDescent="0.25">
      <c r="A304" s="41">
        <f>IF(G304&lt;&gt;"",1+MAX($A$13:A303),"")</f>
        <v>199</v>
      </c>
      <c r="C304" s="89" t="s">
        <v>284</v>
      </c>
      <c r="D304" s="96" t="s">
        <v>196</v>
      </c>
      <c r="E304" s="100">
        <v>1</v>
      </c>
      <c r="F304" s="91">
        <f>VLOOKUP(H304,'PROJECT SUMMARY'!$C$24:$D$31,2,0)</f>
        <v>0</v>
      </c>
      <c r="G304" s="95">
        <f t="shared" si="229"/>
        <v>1</v>
      </c>
      <c r="H304" s="89" t="s">
        <v>9</v>
      </c>
      <c r="I304" s="93">
        <v>1.25</v>
      </c>
      <c r="J304" s="94">
        <f t="shared" si="230"/>
        <v>1.25</v>
      </c>
      <c r="K304" s="90">
        <v>50</v>
      </c>
      <c r="L304" s="90">
        <f t="shared" si="231"/>
        <v>62.5</v>
      </c>
      <c r="M304" s="90">
        <v>185.21</v>
      </c>
      <c r="N304" s="90">
        <f t="shared" si="232"/>
        <v>185.21</v>
      </c>
      <c r="O304" s="90">
        <f t="shared" si="233"/>
        <v>247.71</v>
      </c>
      <c r="P304" s="92"/>
    </row>
    <row r="305" spans="1:16" x14ac:dyDescent="0.25">
      <c r="A305" s="41">
        <f>IF(G305&lt;&gt;"",1+MAX($A$13:A304),"")</f>
        <v>200</v>
      </c>
      <c r="C305" s="89" t="s">
        <v>284</v>
      </c>
      <c r="D305" s="96" t="s">
        <v>197</v>
      </c>
      <c r="E305" s="100">
        <v>1</v>
      </c>
      <c r="F305" s="91">
        <f>VLOOKUP(H305,'PROJECT SUMMARY'!$C$24:$D$31,2,0)</f>
        <v>0</v>
      </c>
      <c r="G305" s="95">
        <f t="shared" si="229"/>
        <v>1</v>
      </c>
      <c r="H305" s="89" t="s">
        <v>9</v>
      </c>
      <c r="I305" s="93">
        <v>3.4</v>
      </c>
      <c r="J305" s="94">
        <f t="shared" si="230"/>
        <v>3.4</v>
      </c>
      <c r="K305" s="90">
        <v>50</v>
      </c>
      <c r="L305" s="90">
        <f t="shared" si="231"/>
        <v>170</v>
      </c>
      <c r="M305" s="90">
        <v>657</v>
      </c>
      <c r="N305" s="90">
        <f t="shared" si="232"/>
        <v>657</v>
      </c>
      <c r="O305" s="90">
        <f t="shared" si="233"/>
        <v>827</v>
      </c>
      <c r="P305" s="92"/>
    </row>
    <row r="306" spans="1:16" x14ac:dyDescent="0.25">
      <c r="A306" s="41">
        <f>IF(G306&lt;&gt;"",1+MAX($A$13:A305),"")</f>
        <v>201</v>
      </c>
      <c r="C306" s="89" t="s">
        <v>284</v>
      </c>
      <c r="D306" s="96" t="s">
        <v>198</v>
      </c>
      <c r="E306" s="100">
        <v>1</v>
      </c>
      <c r="F306" s="91">
        <f>VLOOKUP(H306,'PROJECT SUMMARY'!$C$24:$D$31,2,0)</f>
        <v>0</v>
      </c>
      <c r="G306" s="95">
        <f t="shared" si="229"/>
        <v>1</v>
      </c>
      <c r="H306" s="89" t="s">
        <v>9</v>
      </c>
      <c r="I306" s="93">
        <v>3</v>
      </c>
      <c r="J306" s="94">
        <f t="shared" si="230"/>
        <v>3</v>
      </c>
      <c r="K306" s="90">
        <v>50</v>
      </c>
      <c r="L306" s="90">
        <f t="shared" si="231"/>
        <v>150</v>
      </c>
      <c r="M306" s="90">
        <v>58</v>
      </c>
      <c r="N306" s="90">
        <f t="shared" si="232"/>
        <v>58</v>
      </c>
      <c r="O306" s="90">
        <f t="shared" si="233"/>
        <v>208</v>
      </c>
      <c r="P306" s="92"/>
    </row>
    <row r="307" spans="1:16" x14ac:dyDescent="0.25">
      <c r="A307" s="41">
        <f>IF(G307&lt;&gt;"",1+MAX($A$13:A306),"")</f>
        <v>202</v>
      </c>
      <c r="C307" s="89" t="s">
        <v>284</v>
      </c>
      <c r="D307" s="96" t="s">
        <v>199</v>
      </c>
      <c r="E307" s="100">
        <v>3</v>
      </c>
      <c r="F307" s="91">
        <f>VLOOKUP(H307,'PROJECT SUMMARY'!$C$24:$D$31,2,0)</f>
        <v>0</v>
      </c>
      <c r="G307" s="95">
        <f t="shared" si="229"/>
        <v>3</v>
      </c>
      <c r="H307" s="89" t="s">
        <v>9</v>
      </c>
      <c r="I307" s="93">
        <v>5.2</v>
      </c>
      <c r="J307" s="94">
        <f t="shared" si="230"/>
        <v>15.600000000000001</v>
      </c>
      <c r="K307" s="90">
        <v>50</v>
      </c>
      <c r="L307" s="90">
        <f t="shared" si="231"/>
        <v>780.00000000000011</v>
      </c>
      <c r="M307" s="90">
        <v>1296.33</v>
      </c>
      <c r="N307" s="90">
        <f t="shared" si="232"/>
        <v>3888.99</v>
      </c>
      <c r="O307" s="90">
        <f t="shared" si="233"/>
        <v>4668.99</v>
      </c>
      <c r="P307" s="92"/>
    </row>
    <row r="308" spans="1:16" x14ac:dyDescent="0.25">
      <c r="A308" s="41">
        <f>IF(G308&lt;&gt;"",1+MAX($A$13:A307),"")</f>
        <v>203</v>
      </c>
      <c r="C308" s="89" t="s">
        <v>284</v>
      </c>
      <c r="D308" s="96" t="s">
        <v>200</v>
      </c>
      <c r="E308" s="100">
        <v>1</v>
      </c>
      <c r="F308" s="91">
        <f>VLOOKUP(H308,'PROJECT SUMMARY'!$C$24:$D$31,2,0)</f>
        <v>0</v>
      </c>
      <c r="G308" s="95">
        <f t="shared" si="229"/>
        <v>1</v>
      </c>
      <c r="H308" s="89" t="s">
        <v>9</v>
      </c>
      <c r="I308" s="93">
        <v>2.85</v>
      </c>
      <c r="J308" s="94">
        <f t="shared" si="230"/>
        <v>2.85</v>
      </c>
      <c r="K308" s="90">
        <v>50</v>
      </c>
      <c r="L308" s="90">
        <f t="shared" si="231"/>
        <v>142.5</v>
      </c>
      <c r="M308" s="90">
        <v>588</v>
      </c>
      <c r="N308" s="90">
        <f t="shared" si="232"/>
        <v>588</v>
      </c>
      <c r="O308" s="90">
        <f t="shared" si="233"/>
        <v>730.5</v>
      </c>
      <c r="P308" s="92"/>
    </row>
    <row r="309" spans="1:16" ht="16.5" thickBot="1" x14ac:dyDescent="0.3">
      <c r="A309" s="41" t="str">
        <f>IF(G309&lt;&gt;"",1+MAX($A$13:A308),"")</f>
        <v/>
      </c>
      <c r="D309" s="105"/>
      <c r="E309"/>
      <c r="I309" s="93"/>
      <c r="J309" s="94"/>
      <c r="K309" s="104"/>
      <c r="P309" s="92"/>
    </row>
    <row r="310" spans="1:16" ht="16.5" thickBot="1" x14ac:dyDescent="0.3">
      <c r="A310" s="73" t="str">
        <f>IF(G310&lt;&gt;"",1+MAX($A$13:A309),"")</f>
        <v/>
      </c>
      <c r="B310" s="69"/>
      <c r="C310" s="69" t="s">
        <v>285</v>
      </c>
      <c r="D310" s="67" t="s">
        <v>201</v>
      </c>
      <c r="E310" s="71"/>
      <c r="F310" s="72"/>
      <c r="G310" s="71"/>
      <c r="H310" s="71"/>
      <c r="I310" s="67"/>
      <c r="J310" s="67"/>
      <c r="K310" s="68"/>
      <c r="L310" s="68"/>
      <c r="M310" s="68"/>
      <c r="N310" s="68"/>
      <c r="O310" s="70"/>
      <c r="P310" s="74">
        <f>SUM(O311:O336)</f>
        <v>54138.800969999997</v>
      </c>
    </row>
    <row r="311" spans="1:16" x14ac:dyDescent="0.25">
      <c r="A311" s="41" t="str">
        <f>IF(G311&lt;&gt;"",1+MAX($A$13:A310),"")</f>
        <v/>
      </c>
      <c r="D311"/>
      <c r="E311"/>
      <c r="I311" s="93"/>
      <c r="J311" s="94"/>
      <c r="K311" s="104"/>
      <c r="P311" s="92"/>
    </row>
    <row r="312" spans="1:16" x14ac:dyDescent="0.25">
      <c r="A312" s="41">
        <f>IF(G312&lt;&gt;"",1+MAX($A$13:A311),"")</f>
        <v>204</v>
      </c>
      <c r="C312" s="89" t="s">
        <v>285</v>
      </c>
      <c r="D312" s="96" t="s">
        <v>202</v>
      </c>
      <c r="E312" s="100">
        <v>116.19</v>
      </c>
      <c r="F312" s="91">
        <f>VLOOKUP(H312,'PROJECT SUMMARY'!$C$24:$D$31,2,0)</f>
        <v>0.05</v>
      </c>
      <c r="G312" s="95">
        <f t="shared" ref="G312:G313" si="234">E312*(1+F312)</f>
        <v>121.9995</v>
      </c>
      <c r="H312" s="89" t="s">
        <v>11</v>
      </c>
      <c r="I312" s="93">
        <v>0.3</v>
      </c>
      <c r="J312" s="94">
        <f t="shared" ref="J312:J313" si="235">I312*G312</f>
        <v>36.599849999999996</v>
      </c>
      <c r="K312" s="90">
        <v>50</v>
      </c>
      <c r="L312" s="90">
        <f t="shared" ref="L312:L313" si="236">K312*J312</f>
        <v>1829.9924999999998</v>
      </c>
      <c r="M312" s="90">
        <v>65.12</v>
      </c>
      <c r="N312" s="90">
        <f t="shared" ref="N312:N313" si="237">M312*G312</f>
        <v>7944.6074400000007</v>
      </c>
      <c r="O312" s="90">
        <f t="shared" ref="O312:O313" si="238">L312+N312</f>
        <v>9774.5999400000001</v>
      </c>
      <c r="P312" s="92"/>
    </row>
    <row r="313" spans="1:16" x14ac:dyDescent="0.25">
      <c r="A313" s="41">
        <f>IF(G313&lt;&gt;"",1+MAX($A$13:A312),"")</f>
        <v>205</v>
      </c>
      <c r="C313" s="89" t="s">
        <v>285</v>
      </c>
      <c r="D313" s="96" t="s">
        <v>203</v>
      </c>
      <c r="E313" s="100">
        <v>12.06</v>
      </c>
      <c r="F313" s="91">
        <f>VLOOKUP(H313,'PROJECT SUMMARY'!$C$24:$D$31,2,0)</f>
        <v>0.05</v>
      </c>
      <c r="G313" s="95">
        <f t="shared" si="234"/>
        <v>12.663</v>
      </c>
      <c r="H313" s="89" t="s">
        <v>11</v>
      </c>
      <c r="I313" s="93">
        <v>0.3</v>
      </c>
      <c r="J313" s="94">
        <f t="shared" si="235"/>
        <v>3.7988999999999997</v>
      </c>
      <c r="K313" s="90">
        <v>50</v>
      </c>
      <c r="L313" s="90">
        <f t="shared" si="236"/>
        <v>189.94499999999999</v>
      </c>
      <c r="M313" s="90">
        <v>91</v>
      </c>
      <c r="N313" s="90">
        <f t="shared" si="237"/>
        <v>1152.3330000000001</v>
      </c>
      <c r="O313" s="90">
        <f t="shared" si="238"/>
        <v>1342.278</v>
      </c>
      <c r="P313" s="92"/>
    </row>
    <row r="314" spans="1:16" x14ac:dyDescent="0.25">
      <c r="A314" s="41" t="str">
        <f>IF(G314&lt;&gt;"",1+MAX($A$13:A313),"")</f>
        <v/>
      </c>
      <c r="D314" s="96"/>
      <c r="E314" s="100"/>
      <c r="I314" s="93"/>
      <c r="J314" s="94"/>
      <c r="P314" s="92"/>
    </row>
    <row r="315" spans="1:16" x14ac:dyDescent="0.25">
      <c r="A315" s="41">
        <f>IF(G315&lt;&gt;"",1+MAX($A$13:A314),"")</f>
        <v>206</v>
      </c>
      <c r="C315" s="89" t="s">
        <v>285</v>
      </c>
      <c r="D315" s="96" t="s">
        <v>204</v>
      </c>
      <c r="E315" s="100">
        <v>54.51</v>
      </c>
      <c r="F315" s="91">
        <f>VLOOKUP(H315,'PROJECT SUMMARY'!$C$24:$D$31,2,0)</f>
        <v>0.05</v>
      </c>
      <c r="G315" s="95">
        <f t="shared" ref="G315:G331" si="239">E315*(1+F315)</f>
        <v>57.235500000000002</v>
      </c>
      <c r="H315" s="89" t="s">
        <v>10</v>
      </c>
      <c r="I315" s="93">
        <v>6.8000000000000005E-2</v>
      </c>
      <c r="J315" s="94">
        <f t="shared" ref="J315:J331" si="240">I315*G315</f>
        <v>3.8920140000000005</v>
      </c>
      <c r="K315" s="90">
        <v>50</v>
      </c>
      <c r="L315" s="90">
        <f t="shared" ref="L315:L331" si="241">K315*J315</f>
        <v>194.60070000000002</v>
      </c>
      <c r="M315" s="90">
        <v>12.12</v>
      </c>
      <c r="N315" s="90">
        <f t="shared" ref="N315:N331" si="242">M315*G315</f>
        <v>693.69425999999999</v>
      </c>
      <c r="O315" s="90">
        <f t="shared" ref="O315:O331" si="243">L315+N315</f>
        <v>888.29495999999995</v>
      </c>
      <c r="P315" s="92"/>
    </row>
    <row r="316" spans="1:16" x14ac:dyDescent="0.25">
      <c r="A316" s="41">
        <f>IF(G316&lt;&gt;"",1+MAX($A$13:A315),"")</f>
        <v>207</v>
      </c>
      <c r="C316" s="89" t="s">
        <v>285</v>
      </c>
      <c r="D316" s="96" t="s">
        <v>205</v>
      </c>
      <c r="E316" s="100">
        <v>8.02</v>
      </c>
      <c r="F316" s="91">
        <f>VLOOKUP(H316,'PROJECT SUMMARY'!$C$24:$D$31,2,0)</f>
        <v>0.05</v>
      </c>
      <c r="G316" s="95">
        <f t="shared" si="239"/>
        <v>8.4209999999999994</v>
      </c>
      <c r="H316" s="89" t="s">
        <v>10</v>
      </c>
      <c r="I316" s="93">
        <v>6.8000000000000005E-2</v>
      </c>
      <c r="J316" s="94">
        <f t="shared" si="240"/>
        <v>0.57262800000000003</v>
      </c>
      <c r="K316" s="90">
        <v>50</v>
      </c>
      <c r="L316" s="90">
        <f t="shared" si="241"/>
        <v>28.631400000000003</v>
      </c>
      <c r="M316" s="90">
        <v>18.190000000000001</v>
      </c>
      <c r="N316" s="90">
        <f t="shared" si="242"/>
        <v>153.17798999999999</v>
      </c>
      <c r="O316" s="90">
        <f t="shared" si="243"/>
        <v>181.80939000000001</v>
      </c>
      <c r="P316" s="92"/>
    </row>
    <row r="317" spans="1:16" x14ac:dyDescent="0.25">
      <c r="A317" s="41">
        <f>IF(G317&lt;&gt;"",1+MAX($A$13:A316),"")</f>
        <v>208</v>
      </c>
      <c r="C317" s="89" t="s">
        <v>285</v>
      </c>
      <c r="D317" s="96" t="s">
        <v>206</v>
      </c>
      <c r="E317" s="100">
        <v>22.12</v>
      </c>
      <c r="F317" s="91">
        <f>VLOOKUP(H317,'PROJECT SUMMARY'!$C$24:$D$31,2,0)</f>
        <v>0.05</v>
      </c>
      <c r="G317" s="95">
        <f t="shared" si="239"/>
        <v>23.226000000000003</v>
      </c>
      <c r="H317" s="89" t="s">
        <v>10</v>
      </c>
      <c r="I317" s="93">
        <v>0.85</v>
      </c>
      <c r="J317" s="94">
        <f t="shared" si="240"/>
        <v>19.742100000000001</v>
      </c>
      <c r="K317" s="90">
        <v>50</v>
      </c>
      <c r="L317" s="90">
        <f t="shared" si="241"/>
        <v>987.10500000000002</v>
      </c>
      <c r="M317" s="90">
        <v>106.5</v>
      </c>
      <c r="N317" s="90">
        <f t="shared" si="242"/>
        <v>2473.5690000000004</v>
      </c>
      <c r="O317" s="90">
        <f t="shared" si="243"/>
        <v>3460.6740000000004</v>
      </c>
      <c r="P317" s="92"/>
    </row>
    <row r="318" spans="1:16" x14ac:dyDescent="0.25">
      <c r="A318" s="41">
        <f>IF(G318&lt;&gt;"",1+MAX($A$13:A317),"")</f>
        <v>209</v>
      </c>
      <c r="C318" s="89" t="s">
        <v>285</v>
      </c>
      <c r="D318" s="96" t="s">
        <v>207</v>
      </c>
      <c r="E318" s="100">
        <v>9.83</v>
      </c>
      <c r="F318" s="91">
        <f>VLOOKUP(H318,'PROJECT SUMMARY'!$C$24:$D$31,2,0)</f>
        <v>0.05</v>
      </c>
      <c r="G318" s="95">
        <f t="shared" si="239"/>
        <v>10.3215</v>
      </c>
      <c r="H318" s="89" t="s">
        <v>10</v>
      </c>
      <c r="I318" s="93">
        <v>1.1000000000000001</v>
      </c>
      <c r="J318" s="94">
        <f t="shared" si="240"/>
        <v>11.353650000000002</v>
      </c>
      <c r="K318" s="90">
        <v>50</v>
      </c>
      <c r="L318" s="90">
        <f t="shared" si="241"/>
        <v>567.68250000000012</v>
      </c>
      <c r="M318" s="90">
        <v>116</v>
      </c>
      <c r="N318" s="90">
        <f t="shared" si="242"/>
        <v>1197.2940000000001</v>
      </c>
      <c r="O318" s="90">
        <f t="shared" si="243"/>
        <v>1764.9765000000002</v>
      </c>
      <c r="P318" s="92"/>
    </row>
    <row r="319" spans="1:16" x14ac:dyDescent="0.25">
      <c r="A319" s="41">
        <f>IF(G319&lt;&gt;"",1+MAX($A$13:A318),"")</f>
        <v>210</v>
      </c>
      <c r="C319" s="89" t="s">
        <v>285</v>
      </c>
      <c r="D319" s="96" t="s">
        <v>208</v>
      </c>
      <c r="E319" s="100">
        <v>28.43</v>
      </c>
      <c r="F319" s="91">
        <f>VLOOKUP(H319,'PROJECT SUMMARY'!$C$24:$D$31,2,0)</f>
        <v>0.05</v>
      </c>
      <c r="G319" s="95">
        <f t="shared" si="239"/>
        <v>29.851500000000001</v>
      </c>
      <c r="H319" s="89" t="s">
        <v>10</v>
      </c>
      <c r="I319" s="93">
        <v>1.25</v>
      </c>
      <c r="J319" s="94">
        <f t="shared" si="240"/>
        <v>37.314374999999998</v>
      </c>
      <c r="K319" s="90">
        <v>50</v>
      </c>
      <c r="L319" s="90">
        <f t="shared" si="241"/>
        <v>1865.71875</v>
      </c>
      <c r="M319" s="90">
        <v>146</v>
      </c>
      <c r="N319" s="90">
        <f t="shared" si="242"/>
        <v>4358.3190000000004</v>
      </c>
      <c r="O319" s="90">
        <f t="shared" si="243"/>
        <v>6224.0377500000004</v>
      </c>
      <c r="P319" s="92"/>
    </row>
    <row r="320" spans="1:16" x14ac:dyDescent="0.25">
      <c r="A320" s="41">
        <f>IF(G320&lt;&gt;"",1+MAX($A$13:A319),"")</f>
        <v>211</v>
      </c>
      <c r="C320" s="89" t="s">
        <v>285</v>
      </c>
      <c r="D320" s="96" t="s">
        <v>209</v>
      </c>
      <c r="E320" s="100">
        <v>9.6199999999999992</v>
      </c>
      <c r="F320" s="91">
        <f>VLOOKUP(H320,'PROJECT SUMMARY'!$C$24:$D$31,2,0)</f>
        <v>0.05</v>
      </c>
      <c r="G320" s="95">
        <f t="shared" si="239"/>
        <v>10.100999999999999</v>
      </c>
      <c r="H320" s="89" t="s">
        <v>10</v>
      </c>
      <c r="I320" s="93">
        <v>1.1499999999999999</v>
      </c>
      <c r="J320" s="94">
        <f t="shared" si="240"/>
        <v>11.616149999999998</v>
      </c>
      <c r="K320" s="90">
        <v>50</v>
      </c>
      <c r="L320" s="90">
        <f t="shared" si="241"/>
        <v>580.80749999999989</v>
      </c>
      <c r="M320" s="90">
        <v>128.57</v>
      </c>
      <c r="N320" s="90">
        <f t="shared" si="242"/>
        <v>1298.6855699999999</v>
      </c>
      <c r="O320" s="90">
        <f t="shared" si="243"/>
        <v>1879.4930699999998</v>
      </c>
      <c r="P320" s="92"/>
    </row>
    <row r="321" spans="1:16" x14ac:dyDescent="0.25">
      <c r="A321" s="41">
        <f>IF(G321&lt;&gt;"",1+MAX($A$13:A320),"")</f>
        <v>212</v>
      </c>
      <c r="C321" s="89" t="s">
        <v>285</v>
      </c>
      <c r="D321" s="96" t="s">
        <v>210</v>
      </c>
      <c r="E321" s="100">
        <v>9.48</v>
      </c>
      <c r="F321" s="91">
        <f>VLOOKUP(H321,'PROJECT SUMMARY'!$C$24:$D$31,2,0)</f>
        <v>0.05</v>
      </c>
      <c r="G321" s="95">
        <f t="shared" si="239"/>
        <v>9.9540000000000006</v>
      </c>
      <c r="H321" s="89" t="s">
        <v>10</v>
      </c>
      <c r="I321" s="93">
        <v>1.1000000000000001</v>
      </c>
      <c r="J321" s="94">
        <f t="shared" si="240"/>
        <v>10.949400000000001</v>
      </c>
      <c r="K321" s="90">
        <v>50</v>
      </c>
      <c r="L321" s="90">
        <f t="shared" si="241"/>
        <v>547.47</v>
      </c>
      <c r="M321" s="90">
        <v>113.88</v>
      </c>
      <c r="N321" s="90">
        <f t="shared" si="242"/>
        <v>1133.56152</v>
      </c>
      <c r="O321" s="90">
        <f t="shared" si="243"/>
        <v>1681.03152</v>
      </c>
      <c r="P321" s="92"/>
    </row>
    <row r="322" spans="1:16" x14ac:dyDescent="0.25">
      <c r="A322" s="41">
        <f>IF(G322&lt;&gt;"",1+MAX($A$13:A321),"")</f>
        <v>213</v>
      </c>
      <c r="C322" s="89" t="s">
        <v>285</v>
      </c>
      <c r="D322" s="96" t="s">
        <v>211</v>
      </c>
      <c r="E322" s="100">
        <v>21.34</v>
      </c>
      <c r="F322" s="91">
        <f>VLOOKUP(H322,'PROJECT SUMMARY'!$C$24:$D$31,2,0)</f>
        <v>0.05</v>
      </c>
      <c r="G322" s="95">
        <f t="shared" si="239"/>
        <v>22.407</v>
      </c>
      <c r="H322" s="89" t="s">
        <v>10</v>
      </c>
      <c r="I322" s="93">
        <v>1.1200000000000001</v>
      </c>
      <c r="J322" s="94">
        <f t="shared" si="240"/>
        <v>25.095840000000003</v>
      </c>
      <c r="K322" s="90">
        <v>50</v>
      </c>
      <c r="L322" s="90">
        <f t="shared" si="241"/>
        <v>1254.7920000000001</v>
      </c>
      <c r="M322" s="90">
        <v>123.2</v>
      </c>
      <c r="N322" s="90">
        <f t="shared" si="242"/>
        <v>2760.5424000000003</v>
      </c>
      <c r="O322" s="90">
        <f t="shared" si="243"/>
        <v>4015.3344000000006</v>
      </c>
      <c r="P322" s="92"/>
    </row>
    <row r="323" spans="1:16" x14ac:dyDescent="0.25">
      <c r="A323" s="41">
        <f>IF(G323&lt;&gt;"",1+MAX($A$13:A322),"")</f>
        <v>214</v>
      </c>
      <c r="C323" s="89" t="s">
        <v>285</v>
      </c>
      <c r="D323" s="96" t="s">
        <v>212</v>
      </c>
      <c r="E323" s="100">
        <v>5.23</v>
      </c>
      <c r="F323" s="91">
        <f>VLOOKUP(H323,'PROJECT SUMMARY'!$C$24:$D$31,2,0)</f>
        <v>0.05</v>
      </c>
      <c r="G323" s="95">
        <f t="shared" si="239"/>
        <v>5.4915000000000003</v>
      </c>
      <c r="H323" s="89" t="s">
        <v>10</v>
      </c>
      <c r="I323" s="93">
        <v>1.1000000000000001</v>
      </c>
      <c r="J323" s="94">
        <f t="shared" ref="J323:J326" si="244">I323*G323</f>
        <v>6.0406500000000012</v>
      </c>
      <c r="K323" s="90">
        <v>50</v>
      </c>
      <c r="L323" s="90">
        <f t="shared" ref="L323:L326" si="245">K323*J323</f>
        <v>302.03250000000008</v>
      </c>
      <c r="M323" s="90">
        <v>113.88</v>
      </c>
      <c r="N323" s="90">
        <f t="shared" si="242"/>
        <v>625.37202000000002</v>
      </c>
      <c r="O323" s="90">
        <f t="shared" si="243"/>
        <v>927.40452000000005</v>
      </c>
      <c r="P323" s="92"/>
    </row>
    <row r="324" spans="1:16" x14ac:dyDescent="0.25">
      <c r="A324" s="41">
        <f>IF(G324&lt;&gt;"",1+MAX($A$13:A323),"")</f>
        <v>215</v>
      </c>
      <c r="C324" s="89" t="s">
        <v>285</v>
      </c>
      <c r="D324" s="96" t="s">
        <v>213</v>
      </c>
      <c r="E324" s="100">
        <v>17.149999999999999</v>
      </c>
      <c r="F324" s="91">
        <f>VLOOKUP(H324,'PROJECT SUMMARY'!$C$24:$D$31,2,0)</f>
        <v>0.05</v>
      </c>
      <c r="G324" s="95">
        <f t="shared" si="239"/>
        <v>18.0075</v>
      </c>
      <c r="H324" s="89" t="s">
        <v>10</v>
      </c>
      <c r="I324" s="93">
        <v>0.85</v>
      </c>
      <c r="J324" s="94">
        <f t="shared" si="244"/>
        <v>15.306374999999999</v>
      </c>
      <c r="K324" s="90">
        <v>50</v>
      </c>
      <c r="L324" s="90">
        <f t="shared" si="245"/>
        <v>765.31874999999991</v>
      </c>
      <c r="M324" s="90">
        <v>106.5</v>
      </c>
      <c r="N324" s="90">
        <f t="shared" si="242"/>
        <v>1917.7987499999999</v>
      </c>
      <c r="O324" s="90">
        <f t="shared" si="243"/>
        <v>2683.1174999999998</v>
      </c>
      <c r="P324" s="92"/>
    </row>
    <row r="325" spans="1:16" x14ac:dyDescent="0.25">
      <c r="A325" s="41">
        <f>IF(G325&lt;&gt;"",1+MAX($A$13:A324),"")</f>
        <v>216</v>
      </c>
      <c r="C325" s="89" t="s">
        <v>285</v>
      </c>
      <c r="D325" s="96" t="s">
        <v>214</v>
      </c>
      <c r="E325" s="100">
        <v>2.9</v>
      </c>
      <c r="F325" s="91">
        <f>VLOOKUP(H325,'PROJECT SUMMARY'!$C$24:$D$31,2,0)</f>
        <v>0.05</v>
      </c>
      <c r="G325" s="95">
        <f t="shared" si="239"/>
        <v>3.0449999999999999</v>
      </c>
      <c r="H325" s="89" t="s">
        <v>10</v>
      </c>
      <c r="I325" s="93">
        <v>0.85</v>
      </c>
      <c r="J325" s="94">
        <f t="shared" si="244"/>
        <v>2.5882499999999999</v>
      </c>
      <c r="K325" s="90">
        <v>50</v>
      </c>
      <c r="L325" s="90">
        <f t="shared" si="245"/>
        <v>129.41249999999999</v>
      </c>
      <c r="M325" s="90">
        <v>106.5</v>
      </c>
      <c r="N325" s="90">
        <f t="shared" si="242"/>
        <v>324.29250000000002</v>
      </c>
      <c r="O325" s="90">
        <f t="shared" si="243"/>
        <v>453.70500000000004</v>
      </c>
      <c r="P325" s="92"/>
    </row>
    <row r="326" spans="1:16" x14ac:dyDescent="0.25">
      <c r="A326" s="41">
        <f>IF(G326&lt;&gt;"",1+MAX($A$13:A325),"")</f>
        <v>217</v>
      </c>
      <c r="C326" s="89" t="s">
        <v>285</v>
      </c>
      <c r="D326" s="96" t="s">
        <v>215</v>
      </c>
      <c r="E326" s="100">
        <v>25.9</v>
      </c>
      <c r="F326" s="91">
        <f>VLOOKUP(H326,'PROJECT SUMMARY'!$C$24:$D$31,2,0)</f>
        <v>0.05</v>
      </c>
      <c r="G326" s="95">
        <f t="shared" si="239"/>
        <v>27.195</v>
      </c>
      <c r="H326" s="89" t="s">
        <v>10</v>
      </c>
      <c r="I326" s="93">
        <v>1.3</v>
      </c>
      <c r="J326" s="94">
        <f t="shared" si="244"/>
        <v>35.353500000000004</v>
      </c>
      <c r="K326" s="90">
        <v>50</v>
      </c>
      <c r="L326" s="90">
        <f t="shared" si="245"/>
        <v>1767.6750000000002</v>
      </c>
      <c r="M326" s="90">
        <v>158</v>
      </c>
      <c r="N326" s="90">
        <f t="shared" si="242"/>
        <v>4296.8100000000004</v>
      </c>
      <c r="O326" s="90">
        <f t="shared" si="243"/>
        <v>6064.4850000000006</v>
      </c>
      <c r="P326" s="92"/>
    </row>
    <row r="327" spans="1:16" x14ac:dyDescent="0.25">
      <c r="A327" s="41">
        <f>IF(G327&lt;&gt;"",1+MAX($A$13:A326),"")</f>
        <v>218</v>
      </c>
      <c r="C327" s="89" t="s">
        <v>285</v>
      </c>
      <c r="D327" s="96" t="s">
        <v>216</v>
      </c>
      <c r="E327" s="100">
        <v>13.99</v>
      </c>
      <c r="F327" s="91">
        <f>VLOOKUP(H327,'PROJECT SUMMARY'!$C$24:$D$31,2,0)</f>
        <v>0.05</v>
      </c>
      <c r="G327" s="95">
        <f t="shared" si="239"/>
        <v>14.689500000000001</v>
      </c>
      <c r="H327" s="89" t="s">
        <v>10</v>
      </c>
      <c r="I327" s="93">
        <v>0.85</v>
      </c>
      <c r="J327" s="94">
        <f t="shared" si="240"/>
        <v>12.486075</v>
      </c>
      <c r="K327" s="90">
        <v>50</v>
      </c>
      <c r="L327" s="90">
        <f t="shared" si="241"/>
        <v>624.30375000000004</v>
      </c>
      <c r="M327" s="90">
        <v>85.91</v>
      </c>
      <c r="N327" s="90">
        <f t="shared" si="242"/>
        <v>1261.9749449999999</v>
      </c>
      <c r="O327" s="90">
        <f t="shared" si="243"/>
        <v>1886.278695</v>
      </c>
      <c r="P327" s="92"/>
    </row>
    <row r="328" spans="1:16" x14ac:dyDescent="0.25">
      <c r="A328" s="41">
        <f>IF(G328&lt;&gt;"",1+MAX($A$13:A327),"")</f>
        <v>219</v>
      </c>
      <c r="C328" s="89" t="s">
        <v>285</v>
      </c>
      <c r="D328" s="96" t="s">
        <v>217</v>
      </c>
      <c r="E328" s="100">
        <v>6.77</v>
      </c>
      <c r="F328" s="91">
        <f>VLOOKUP(H328,'PROJECT SUMMARY'!$C$24:$D$31,2,0)</f>
        <v>0.05</v>
      </c>
      <c r="G328" s="95">
        <f t="shared" si="239"/>
        <v>7.1085000000000003</v>
      </c>
      <c r="H328" s="89" t="s">
        <v>10</v>
      </c>
      <c r="I328" s="93">
        <v>0.85</v>
      </c>
      <c r="J328" s="94">
        <f t="shared" si="240"/>
        <v>6.0422250000000002</v>
      </c>
      <c r="K328" s="90">
        <v>50</v>
      </c>
      <c r="L328" s="90">
        <f t="shared" si="241"/>
        <v>302.11124999999998</v>
      </c>
      <c r="M328" s="90">
        <v>70.349999999999994</v>
      </c>
      <c r="N328" s="90">
        <f t="shared" si="242"/>
        <v>500.08297499999998</v>
      </c>
      <c r="O328" s="90">
        <f t="shared" si="243"/>
        <v>802.19422499999996</v>
      </c>
      <c r="P328" s="92"/>
    </row>
    <row r="329" spans="1:16" x14ac:dyDescent="0.25">
      <c r="A329" s="41">
        <f>IF(G329&lt;&gt;"",1+MAX($A$13:A328),"")</f>
        <v>220</v>
      </c>
      <c r="C329" s="89" t="s">
        <v>285</v>
      </c>
      <c r="D329" s="96" t="s">
        <v>218</v>
      </c>
      <c r="E329" s="100">
        <v>19.079999999999998</v>
      </c>
      <c r="F329" s="91">
        <f>VLOOKUP(H329,'PROJECT SUMMARY'!$C$24:$D$31,2,0)</f>
        <v>0.05</v>
      </c>
      <c r="G329" s="95">
        <f t="shared" si="239"/>
        <v>20.033999999999999</v>
      </c>
      <c r="H329" s="89" t="s">
        <v>10</v>
      </c>
      <c r="I329" s="93">
        <v>1</v>
      </c>
      <c r="J329" s="94">
        <f t="shared" si="240"/>
        <v>20.033999999999999</v>
      </c>
      <c r="K329" s="90">
        <v>50</v>
      </c>
      <c r="L329" s="90">
        <f t="shared" si="241"/>
        <v>1001.6999999999999</v>
      </c>
      <c r="M329" s="90">
        <v>120</v>
      </c>
      <c r="N329" s="90">
        <f t="shared" si="242"/>
        <v>2404.08</v>
      </c>
      <c r="O329" s="90">
        <f t="shared" si="243"/>
        <v>3405.7799999999997</v>
      </c>
      <c r="P329" s="92"/>
    </row>
    <row r="330" spans="1:16" x14ac:dyDescent="0.25">
      <c r="A330" s="41">
        <f>IF(G330&lt;&gt;"",1+MAX($A$13:A329),"")</f>
        <v>221</v>
      </c>
      <c r="C330" s="89" t="s">
        <v>285</v>
      </c>
      <c r="D330" s="96" t="s">
        <v>219</v>
      </c>
      <c r="E330" s="100">
        <v>5.79</v>
      </c>
      <c r="F330" s="91">
        <f>VLOOKUP(H330,'PROJECT SUMMARY'!$C$24:$D$31,2,0)</f>
        <v>0.05</v>
      </c>
      <c r="G330" s="95">
        <f t="shared" si="239"/>
        <v>6.0795000000000003</v>
      </c>
      <c r="H330" s="89" t="s">
        <v>10</v>
      </c>
      <c r="I330" s="93">
        <v>0.85</v>
      </c>
      <c r="J330" s="94">
        <f t="shared" ref="J330" si="246">I330*G330</f>
        <v>5.1675750000000003</v>
      </c>
      <c r="K330" s="90">
        <v>50</v>
      </c>
      <c r="L330" s="90">
        <f t="shared" ref="L330" si="247">K330*J330</f>
        <v>258.37875000000003</v>
      </c>
      <c r="M330" s="90">
        <v>106.5</v>
      </c>
      <c r="N330" s="90">
        <f t="shared" si="242"/>
        <v>647.46675000000005</v>
      </c>
      <c r="O330" s="90">
        <f t="shared" si="243"/>
        <v>905.84550000000013</v>
      </c>
      <c r="P330" s="92"/>
    </row>
    <row r="331" spans="1:16" x14ac:dyDescent="0.25">
      <c r="A331" s="41">
        <f>IF(G331&lt;&gt;"",1+MAX($A$13:A330),"")</f>
        <v>222</v>
      </c>
      <c r="C331" s="89" t="s">
        <v>285</v>
      </c>
      <c r="D331" s="96" t="s">
        <v>220</v>
      </c>
      <c r="E331" s="100">
        <v>12.82</v>
      </c>
      <c r="F331" s="91">
        <f>VLOOKUP(H331,'PROJECT SUMMARY'!$C$24:$D$31,2,0)</f>
        <v>0.05</v>
      </c>
      <c r="G331" s="95">
        <f t="shared" si="239"/>
        <v>13.461</v>
      </c>
      <c r="H331" s="89" t="s">
        <v>10</v>
      </c>
      <c r="I331" s="93">
        <v>0.7</v>
      </c>
      <c r="J331" s="94">
        <f t="shared" si="240"/>
        <v>9.422699999999999</v>
      </c>
      <c r="K331" s="90">
        <v>50</v>
      </c>
      <c r="L331" s="90">
        <f t="shared" si="241"/>
        <v>471.13499999999993</v>
      </c>
      <c r="M331" s="90">
        <v>116</v>
      </c>
      <c r="N331" s="90">
        <f t="shared" si="242"/>
        <v>1561.4760000000001</v>
      </c>
      <c r="O331" s="90">
        <f t="shared" si="243"/>
        <v>2032.6110000000001</v>
      </c>
      <c r="P331" s="92"/>
    </row>
    <row r="332" spans="1:16" x14ac:dyDescent="0.25">
      <c r="A332" s="41" t="str">
        <f>IF(G332&lt;&gt;"",1+MAX($A$13:A331),"")</f>
        <v/>
      </c>
      <c r="D332" s="96"/>
      <c r="E332" s="100"/>
      <c r="I332" s="93"/>
      <c r="J332" s="94"/>
      <c r="P332" s="92"/>
    </row>
    <row r="333" spans="1:16" x14ac:dyDescent="0.25">
      <c r="A333" s="41">
        <f>IF(G333&lt;&gt;"",1+MAX($A$13:A332),"")</f>
        <v>223</v>
      </c>
      <c r="C333" s="89" t="s">
        <v>285</v>
      </c>
      <c r="D333" s="96" t="s">
        <v>221</v>
      </c>
      <c r="E333" s="100">
        <v>1</v>
      </c>
      <c r="F333" s="91">
        <f>VLOOKUP(H333,'PROJECT SUMMARY'!$C$24:$D$31,2,0)</f>
        <v>0</v>
      </c>
      <c r="G333" s="95">
        <f t="shared" ref="G333:G335" si="248">E333*(1+F333)</f>
        <v>1</v>
      </c>
      <c r="H333" s="89" t="s">
        <v>9</v>
      </c>
      <c r="I333" s="93">
        <v>3.44</v>
      </c>
      <c r="J333" s="94">
        <f t="shared" ref="J333:J335" si="249">I333*G333</f>
        <v>3.44</v>
      </c>
      <c r="K333" s="90">
        <v>50</v>
      </c>
      <c r="L333" s="90">
        <f t="shared" ref="L333:L335" si="250">K333*J333</f>
        <v>172</v>
      </c>
      <c r="M333" s="90">
        <v>1111.3499999999999</v>
      </c>
      <c r="N333" s="90">
        <f t="shared" ref="N333:N335" si="251">M333*G333</f>
        <v>1111.3499999999999</v>
      </c>
      <c r="O333" s="90">
        <f t="shared" ref="O333:O335" si="252">L333+N333</f>
        <v>1283.3499999999999</v>
      </c>
      <c r="P333" s="92"/>
    </row>
    <row r="334" spans="1:16" x14ac:dyDescent="0.25">
      <c r="A334" s="41">
        <f>IF(G334&lt;&gt;"",1+MAX($A$13:A333),"")</f>
        <v>224</v>
      </c>
      <c r="C334" s="89" t="s">
        <v>285</v>
      </c>
      <c r="D334" s="96" t="s">
        <v>222</v>
      </c>
      <c r="E334" s="100">
        <v>1</v>
      </c>
      <c r="F334" s="91">
        <f>VLOOKUP(H334,'PROJECT SUMMARY'!$C$24:$D$31,2,0)</f>
        <v>0</v>
      </c>
      <c r="G334" s="95">
        <f t="shared" si="248"/>
        <v>1</v>
      </c>
      <c r="H334" s="89" t="s">
        <v>9</v>
      </c>
      <c r="I334" s="93">
        <v>4.8499999999999996</v>
      </c>
      <c r="J334" s="94">
        <f t="shared" si="249"/>
        <v>4.8499999999999996</v>
      </c>
      <c r="K334" s="90">
        <v>50</v>
      </c>
      <c r="L334" s="90">
        <f t="shared" si="250"/>
        <v>242.49999999999997</v>
      </c>
      <c r="M334" s="90">
        <v>1472.5</v>
      </c>
      <c r="N334" s="90">
        <f t="shared" si="251"/>
        <v>1472.5</v>
      </c>
      <c r="O334" s="90">
        <f t="shared" si="252"/>
        <v>1715</v>
      </c>
      <c r="P334" s="92"/>
    </row>
    <row r="335" spans="1:16" x14ac:dyDescent="0.25">
      <c r="A335" s="41">
        <f>IF(G335&lt;&gt;"",1+MAX($A$13:A334),"")</f>
        <v>225</v>
      </c>
      <c r="C335" s="89" t="s">
        <v>285</v>
      </c>
      <c r="D335" s="96" t="s">
        <v>223</v>
      </c>
      <c r="E335" s="100">
        <v>1</v>
      </c>
      <c r="F335" s="91">
        <f>VLOOKUP(H335,'PROJECT SUMMARY'!$C$24:$D$31,2,0)</f>
        <v>0</v>
      </c>
      <c r="G335" s="95">
        <f t="shared" si="248"/>
        <v>1</v>
      </c>
      <c r="H335" s="89" t="s">
        <v>9</v>
      </c>
      <c r="I335" s="93">
        <v>2.21</v>
      </c>
      <c r="J335" s="94">
        <f t="shared" si="249"/>
        <v>2.21</v>
      </c>
      <c r="K335" s="90">
        <v>50</v>
      </c>
      <c r="L335" s="90">
        <f t="shared" si="250"/>
        <v>110.5</v>
      </c>
      <c r="M335" s="90">
        <v>656</v>
      </c>
      <c r="N335" s="90">
        <f t="shared" si="251"/>
        <v>656</v>
      </c>
      <c r="O335" s="90">
        <f t="shared" si="252"/>
        <v>766.5</v>
      </c>
      <c r="P335" s="92"/>
    </row>
    <row r="336" spans="1:16" ht="16.5" thickBot="1" x14ac:dyDescent="0.3">
      <c r="A336" s="41" t="str">
        <f>IF(G336&lt;&gt;"",1+MAX($A$13:A335),"")</f>
        <v/>
      </c>
      <c r="D336" s="105"/>
      <c r="E336"/>
      <c r="I336" s="93"/>
      <c r="J336" s="94"/>
      <c r="K336" s="104"/>
      <c r="P336" s="92"/>
    </row>
    <row r="337" spans="1:16" ht="16.5" thickBot="1" x14ac:dyDescent="0.3">
      <c r="A337" s="73" t="str">
        <f>IF(G337&lt;&gt;"",1+MAX($A$13:A336),"")</f>
        <v/>
      </c>
      <c r="B337" s="69"/>
      <c r="C337" s="69" t="s">
        <v>286</v>
      </c>
      <c r="D337" s="67" t="s">
        <v>224</v>
      </c>
      <c r="E337" s="71"/>
      <c r="F337" s="72"/>
      <c r="G337" s="71"/>
      <c r="H337" s="71"/>
      <c r="I337" s="67"/>
      <c r="J337" s="67"/>
      <c r="K337" s="68"/>
      <c r="L337" s="68"/>
      <c r="M337" s="68"/>
      <c r="N337" s="68"/>
      <c r="O337" s="70"/>
      <c r="P337" s="74">
        <f>SUM(O338:O347)</f>
        <v>23960.260000000002</v>
      </c>
    </row>
    <row r="338" spans="1:16" x14ac:dyDescent="0.25">
      <c r="A338" s="41" t="str">
        <f>IF(G338&lt;&gt;"",1+MAX($A$13:A337),"")</f>
        <v/>
      </c>
      <c r="D338"/>
      <c r="E338"/>
      <c r="I338" s="93"/>
      <c r="J338" s="94"/>
      <c r="K338" s="104"/>
      <c r="P338" s="92"/>
    </row>
    <row r="339" spans="1:16" x14ac:dyDescent="0.25">
      <c r="A339" s="41">
        <f>IF(G339&lt;&gt;"",1+MAX($A$13:A338),"")</f>
        <v>226</v>
      </c>
      <c r="C339" s="89" t="s">
        <v>286</v>
      </c>
      <c r="D339" s="96" t="s">
        <v>225</v>
      </c>
      <c r="E339" s="100">
        <v>1</v>
      </c>
      <c r="F339" s="91">
        <f>VLOOKUP(H339,'PROJECT SUMMARY'!$C$24:$D$31,2,0)</f>
        <v>0</v>
      </c>
      <c r="G339" s="95">
        <f t="shared" ref="G339:G344" si="253">E339*(1+F339)</f>
        <v>1</v>
      </c>
      <c r="H339" s="89" t="s">
        <v>9</v>
      </c>
      <c r="I339" s="93">
        <v>4.25</v>
      </c>
      <c r="J339" s="94">
        <f t="shared" ref="J339:J344" si="254">I339*G339</f>
        <v>4.25</v>
      </c>
      <c r="K339" s="90">
        <v>79</v>
      </c>
      <c r="L339" s="90">
        <f t="shared" ref="L339:L344" si="255">K339*J339</f>
        <v>335.75</v>
      </c>
      <c r="M339" s="90">
        <v>502.5</v>
      </c>
      <c r="N339" s="90">
        <f t="shared" ref="N339:N344" si="256">M339*G339</f>
        <v>502.5</v>
      </c>
      <c r="O339" s="90">
        <f t="shared" ref="O339:O344" si="257">L339+N339</f>
        <v>838.25</v>
      </c>
      <c r="P339" s="92"/>
    </row>
    <row r="340" spans="1:16" x14ac:dyDescent="0.25">
      <c r="A340" s="41">
        <f>IF(G340&lt;&gt;"",1+MAX($A$13:A339),"")</f>
        <v>227</v>
      </c>
      <c r="C340" s="89" t="s">
        <v>286</v>
      </c>
      <c r="D340" s="96" t="s">
        <v>226</v>
      </c>
      <c r="E340" s="100">
        <v>4</v>
      </c>
      <c r="F340" s="91">
        <f>VLOOKUP(H340,'PROJECT SUMMARY'!$C$24:$D$31,2,0)</f>
        <v>0</v>
      </c>
      <c r="G340" s="95">
        <f t="shared" si="253"/>
        <v>4</v>
      </c>
      <c r="H340" s="89" t="s">
        <v>9</v>
      </c>
      <c r="I340" s="93">
        <v>4.82</v>
      </c>
      <c r="J340" s="94">
        <f t="shared" si="254"/>
        <v>19.28</v>
      </c>
      <c r="K340" s="90">
        <v>79</v>
      </c>
      <c r="L340" s="90">
        <f t="shared" si="255"/>
        <v>1523.1200000000001</v>
      </c>
      <c r="M340" s="90">
        <v>595</v>
      </c>
      <c r="N340" s="90">
        <f t="shared" si="256"/>
        <v>2380</v>
      </c>
      <c r="O340" s="90">
        <f t="shared" si="257"/>
        <v>3903.12</v>
      </c>
      <c r="P340" s="92"/>
    </row>
    <row r="341" spans="1:16" x14ac:dyDescent="0.25">
      <c r="A341" s="41">
        <f>IF(G341&lt;&gt;"",1+MAX($A$13:A340),"")</f>
        <v>228</v>
      </c>
      <c r="C341" s="89" t="s">
        <v>286</v>
      </c>
      <c r="D341" s="96" t="s">
        <v>227</v>
      </c>
      <c r="E341" s="100">
        <v>3</v>
      </c>
      <c r="F341" s="91">
        <f>VLOOKUP(H341,'PROJECT SUMMARY'!$C$24:$D$31,2,0)</f>
        <v>0</v>
      </c>
      <c r="G341" s="95">
        <f t="shared" si="253"/>
        <v>3</v>
      </c>
      <c r="H341" s="89" t="s">
        <v>9</v>
      </c>
      <c r="I341" s="93">
        <v>4.0999999999999996</v>
      </c>
      <c r="J341" s="94">
        <f t="shared" si="254"/>
        <v>12.299999999999999</v>
      </c>
      <c r="K341" s="90">
        <v>79</v>
      </c>
      <c r="L341" s="90">
        <f t="shared" si="255"/>
        <v>971.69999999999993</v>
      </c>
      <c r="M341" s="90">
        <v>485</v>
      </c>
      <c r="N341" s="90">
        <f t="shared" si="256"/>
        <v>1455</v>
      </c>
      <c r="O341" s="90">
        <f t="shared" si="257"/>
        <v>2426.6999999999998</v>
      </c>
      <c r="P341" s="92"/>
    </row>
    <row r="342" spans="1:16" x14ac:dyDescent="0.25">
      <c r="A342" s="41">
        <f>IF(G342&lt;&gt;"",1+MAX($A$13:A341),"")</f>
        <v>229</v>
      </c>
      <c r="C342" s="89" t="s">
        <v>286</v>
      </c>
      <c r="D342" s="96" t="s">
        <v>228</v>
      </c>
      <c r="E342" s="100">
        <v>1</v>
      </c>
      <c r="F342" s="91">
        <f>VLOOKUP(H342,'PROJECT SUMMARY'!$C$24:$D$31,2,0)</f>
        <v>0</v>
      </c>
      <c r="G342" s="95">
        <f t="shared" si="253"/>
        <v>1</v>
      </c>
      <c r="H342" s="89" t="s">
        <v>9</v>
      </c>
      <c r="I342" s="93">
        <v>6.54</v>
      </c>
      <c r="J342" s="94">
        <f t="shared" si="254"/>
        <v>6.54</v>
      </c>
      <c r="K342" s="90">
        <v>79</v>
      </c>
      <c r="L342" s="90">
        <f t="shared" si="255"/>
        <v>516.66</v>
      </c>
      <c r="M342" s="90">
        <v>1132</v>
      </c>
      <c r="N342" s="90">
        <f t="shared" si="256"/>
        <v>1132</v>
      </c>
      <c r="O342" s="90">
        <f t="shared" si="257"/>
        <v>1648.6599999999999</v>
      </c>
      <c r="P342" s="92"/>
    </row>
    <row r="343" spans="1:16" x14ac:dyDescent="0.25">
      <c r="A343" s="41">
        <f>IF(G343&lt;&gt;"",1+MAX($A$13:A342),"")</f>
        <v>230</v>
      </c>
      <c r="C343" s="89" t="s">
        <v>286</v>
      </c>
      <c r="D343" s="96" t="s">
        <v>229</v>
      </c>
      <c r="E343" s="100">
        <v>1</v>
      </c>
      <c r="F343" s="91">
        <f>VLOOKUP(H343,'PROJECT SUMMARY'!$C$24:$D$31,2,0)</f>
        <v>0</v>
      </c>
      <c r="G343" s="95">
        <f t="shared" si="253"/>
        <v>1</v>
      </c>
      <c r="H343" s="89" t="s">
        <v>9</v>
      </c>
      <c r="I343" s="93">
        <v>6.22</v>
      </c>
      <c r="J343" s="94">
        <f t="shared" si="254"/>
        <v>6.22</v>
      </c>
      <c r="K343" s="90">
        <v>79</v>
      </c>
      <c r="L343" s="90">
        <f t="shared" si="255"/>
        <v>491.38</v>
      </c>
      <c r="M343" s="90">
        <v>966</v>
      </c>
      <c r="N343" s="90">
        <f t="shared" si="256"/>
        <v>966</v>
      </c>
      <c r="O343" s="90">
        <f t="shared" si="257"/>
        <v>1457.38</v>
      </c>
      <c r="P343" s="92"/>
    </row>
    <row r="344" spans="1:16" x14ac:dyDescent="0.25">
      <c r="A344" s="41">
        <f>IF(G344&lt;&gt;"",1+MAX($A$13:A343),"")</f>
        <v>231</v>
      </c>
      <c r="C344" s="89" t="s">
        <v>286</v>
      </c>
      <c r="D344" s="96" t="s">
        <v>230</v>
      </c>
      <c r="E344" s="100">
        <v>1</v>
      </c>
      <c r="F344" s="91">
        <f>VLOOKUP(H344,'PROJECT SUMMARY'!$C$24:$D$31,2,0)</f>
        <v>0</v>
      </c>
      <c r="G344" s="95">
        <f t="shared" si="253"/>
        <v>1</v>
      </c>
      <c r="H344" s="89" t="s">
        <v>9</v>
      </c>
      <c r="I344" s="93">
        <v>7.85</v>
      </c>
      <c r="J344" s="94">
        <f t="shared" si="254"/>
        <v>7.85</v>
      </c>
      <c r="K344" s="90">
        <v>79</v>
      </c>
      <c r="L344" s="90">
        <f t="shared" si="255"/>
        <v>620.15</v>
      </c>
      <c r="M344" s="90">
        <v>1166</v>
      </c>
      <c r="N344" s="90">
        <f t="shared" si="256"/>
        <v>1166</v>
      </c>
      <c r="O344" s="90">
        <f t="shared" si="257"/>
        <v>1786.15</v>
      </c>
      <c r="P344" s="92"/>
    </row>
    <row r="345" spans="1:16" x14ac:dyDescent="0.25">
      <c r="A345" s="41" t="str">
        <f>IF(G345&lt;&gt;"",1+MAX($A$13:A344),"")</f>
        <v/>
      </c>
      <c r="D345" s="96"/>
      <c r="E345" s="100"/>
      <c r="I345" s="93"/>
      <c r="J345" s="94"/>
      <c r="P345" s="92"/>
    </row>
    <row r="346" spans="1:16" x14ac:dyDescent="0.25">
      <c r="A346" s="41">
        <f>IF(G346&lt;&gt;"",1+MAX($A$13:A345),"")</f>
        <v>232</v>
      </c>
      <c r="C346" s="89" t="s">
        <v>286</v>
      </c>
      <c r="D346" s="96" t="s">
        <v>231</v>
      </c>
      <c r="E346" s="100">
        <v>1</v>
      </c>
      <c r="F346" s="91">
        <f>VLOOKUP(H346,'PROJECT SUMMARY'!$C$24:$D$31,2,0)</f>
        <v>0</v>
      </c>
      <c r="G346" s="95">
        <f t="shared" ref="G346" si="258">E346*(1+F346)</f>
        <v>1</v>
      </c>
      <c r="H346" s="89" t="s">
        <v>12</v>
      </c>
      <c r="I346" s="93">
        <v>100</v>
      </c>
      <c r="J346" s="94">
        <f t="shared" ref="J346" si="259">I346*G346</f>
        <v>100</v>
      </c>
      <c r="K346" s="90">
        <v>79</v>
      </c>
      <c r="L346" s="90">
        <f>K346*J346</f>
        <v>7900</v>
      </c>
      <c r="M346" s="90">
        <v>4000</v>
      </c>
      <c r="N346" s="90">
        <f>M346*G346</f>
        <v>4000</v>
      </c>
      <c r="O346" s="90">
        <f t="shared" ref="O346" si="260">L346+N346</f>
        <v>11900</v>
      </c>
      <c r="P346" s="92"/>
    </row>
    <row r="347" spans="1:16" ht="16.5" thickBot="1" x14ac:dyDescent="0.3">
      <c r="A347" s="41" t="str">
        <f>IF(G347&lt;&gt;"",1+MAX($A$13:A346),"")</f>
        <v/>
      </c>
      <c r="D347" s="105"/>
      <c r="E347"/>
      <c r="I347" s="93"/>
      <c r="J347" s="94"/>
      <c r="K347" s="104"/>
      <c r="P347" s="92"/>
    </row>
    <row r="348" spans="1:16" ht="16.5" thickBot="1" x14ac:dyDescent="0.3">
      <c r="A348" s="73" t="str">
        <f>IF(G348&lt;&gt;"",1+MAX($A$13:A347),"")</f>
        <v/>
      </c>
      <c r="B348" s="69"/>
      <c r="C348" s="69" t="s">
        <v>287</v>
      </c>
      <c r="D348" s="67" t="s">
        <v>232</v>
      </c>
      <c r="E348" s="71"/>
      <c r="F348" s="72"/>
      <c r="G348" s="71"/>
      <c r="H348" s="71"/>
      <c r="I348" s="67"/>
      <c r="J348" s="67"/>
      <c r="K348" s="68"/>
      <c r="L348" s="68"/>
      <c r="M348" s="68"/>
      <c r="N348" s="68"/>
      <c r="O348" s="70"/>
      <c r="P348" s="74">
        <f>SUM(O349:O351)</f>
        <v>20350</v>
      </c>
    </row>
    <row r="349" spans="1:16" x14ac:dyDescent="0.25">
      <c r="A349" s="41" t="str">
        <f>IF(G349&lt;&gt;"",1+MAX($A$13:A348),"")</f>
        <v/>
      </c>
      <c r="D349"/>
      <c r="E349"/>
      <c r="I349" s="93"/>
      <c r="J349" s="94"/>
      <c r="K349" s="104"/>
      <c r="P349" s="92"/>
    </row>
    <row r="350" spans="1:16" x14ac:dyDescent="0.25">
      <c r="A350" s="41">
        <f>IF(G350&lt;&gt;"",1+MAX($A$13:A349),"")</f>
        <v>233</v>
      </c>
      <c r="C350" s="89" t="s">
        <v>287</v>
      </c>
      <c r="D350" s="96" t="s">
        <v>233</v>
      </c>
      <c r="E350" s="100">
        <v>1</v>
      </c>
      <c r="F350" s="91">
        <f>VLOOKUP(H350,'PROJECT SUMMARY'!$C$24:$D$31,2,0)</f>
        <v>0</v>
      </c>
      <c r="G350" s="95">
        <f t="shared" ref="G350" si="261">E350*(1+F350)</f>
        <v>1</v>
      </c>
      <c r="H350" s="89" t="s">
        <v>12</v>
      </c>
      <c r="I350" s="93">
        <v>150</v>
      </c>
      <c r="J350" s="94">
        <f t="shared" ref="J350" si="262">I350*G350</f>
        <v>150</v>
      </c>
      <c r="K350" s="90">
        <v>79</v>
      </c>
      <c r="L350" s="90">
        <f>K350*J350</f>
        <v>11850</v>
      </c>
      <c r="M350" s="90">
        <v>8500</v>
      </c>
      <c r="N350" s="90">
        <f>M350*G350</f>
        <v>8500</v>
      </c>
      <c r="O350" s="90">
        <f t="shared" ref="O350" si="263">L350+N350</f>
        <v>20350</v>
      </c>
      <c r="P350" s="92"/>
    </row>
    <row r="351" spans="1:16" ht="16.5" thickBot="1" x14ac:dyDescent="0.3">
      <c r="A351" s="41" t="str">
        <f>IF(G351&lt;&gt;"",1+MAX($A$13:A350),"")</f>
        <v/>
      </c>
      <c r="D351" s="105"/>
      <c r="E351"/>
      <c r="I351" s="93"/>
      <c r="J351" s="94"/>
      <c r="K351" s="104"/>
      <c r="P351" s="92"/>
    </row>
    <row r="352" spans="1:16" ht="16.5" thickBot="1" x14ac:dyDescent="0.3">
      <c r="A352" s="73" t="str">
        <f>IF(G352&lt;&gt;"",1+MAX($A$13:A351),"")</f>
        <v/>
      </c>
      <c r="B352" s="69"/>
      <c r="C352" s="69" t="s">
        <v>288</v>
      </c>
      <c r="D352" s="67" t="s">
        <v>289</v>
      </c>
      <c r="E352" s="71"/>
      <c r="F352" s="72"/>
      <c r="G352" s="71"/>
      <c r="H352" s="71"/>
      <c r="I352" s="67"/>
      <c r="J352" s="67"/>
      <c r="K352" s="68"/>
      <c r="L352" s="68"/>
      <c r="M352" s="68"/>
      <c r="N352" s="68"/>
      <c r="O352" s="70"/>
      <c r="P352" s="74">
        <f>SUM(O353:O355)</f>
        <v>27800</v>
      </c>
    </row>
    <row r="353" spans="1:16" x14ac:dyDescent="0.25">
      <c r="A353" s="41" t="str">
        <f>IF(G353&lt;&gt;"",1+MAX($A$13:A352),"")</f>
        <v/>
      </c>
      <c r="D353"/>
      <c r="E353"/>
      <c r="I353" s="93"/>
      <c r="J353" s="94"/>
      <c r="K353" s="104"/>
      <c r="P353" s="92"/>
    </row>
    <row r="354" spans="1:16" x14ac:dyDescent="0.25">
      <c r="A354" s="41">
        <f>IF(G354&lt;&gt;"",1+MAX($A$13:A353),"")</f>
        <v>234</v>
      </c>
      <c r="C354" s="89" t="s">
        <v>288</v>
      </c>
      <c r="D354" s="96" t="s">
        <v>234</v>
      </c>
      <c r="E354" s="100">
        <v>1</v>
      </c>
      <c r="F354" s="91">
        <f>VLOOKUP(H354,'PROJECT SUMMARY'!$C$24:$D$31,2,0)</f>
        <v>0</v>
      </c>
      <c r="G354" s="95">
        <f t="shared" ref="G354" si="264">E354*(1+F354)</f>
        <v>1</v>
      </c>
      <c r="H354" s="89" t="s">
        <v>12</v>
      </c>
      <c r="I354" s="93">
        <v>200</v>
      </c>
      <c r="J354" s="94">
        <f t="shared" ref="J354" si="265">I354*G354</f>
        <v>200</v>
      </c>
      <c r="K354" s="90">
        <v>79</v>
      </c>
      <c r="L354" s="90">
        <f>K354*J354</f>
        <v>15800</v>
      </c>
      <c r="M354" s="90">
        <v>12000</v>
      </c>
      <c r="N354" s="90">
        <f>M354*G354</f>
        <v>12000</v>
      </c>
      <c r="O354" s="90">
        <f t="shared" ref="O354" si="266">L354+N354</f>
        <v>27800</v>
      </c>
      <c r="P354" s="92"/>
    </row>
    <row r="355" spans="1:16" ht="16.5" thickBot="1" x14ac:dyDescent="0.3">
      <c r="A355" s="41" t="str">
        <f>IF(G355&lt;&gt;"",1+MAX($A$13:A354),"")</f>
        <v/>
      </c>
      <c r="D355" s="105"/>
      <c r="E355"/>
      <c r="I355" s="93"/>
      <c r="J355" s="94"/>
      <c r="K355" s="104"/>
      <c r="P355" s="92"/>
    </row>
    <row r="356" spans="1:16" ht="16.5" thickBot="1" x14ac:dyDescent="0.3">
      <c r="A356" s="73" t="str">
        <f>IF(G356&lt;&gt;"",1+MAX($A$13:A355),"")</f>
        <v/>
      </c>
      <c r="B356" s="69"/>
      <c r="C356" s="69" t="s">
        <v>42</v>
      </c>
      <c r="D356" s="67" t="s">
        <v>43</v>
      </c>
      <c r="E356" s="71"/>
      <c r="F356" s="72"/>
      <c r="G356" s="71"/>
      <c r="H356" s="71"/>
      <c r="I356" s="67"/>
      <c r="J356" s="67"/>
      <c r="K356" s="68"/>
      <c r="L356" s="68"/>
      <c r="M356" s="68"/>
      <c r="N356" s="68"/>
      <c r="O356" s="70"/>
      <c r="P356" s="74">
        <f>SUM(O357:O367)</f>
        <v>80499.267442222219</v>
      </c>
    </row>
    <row r="357" spans="1:16" x14ac:dyDescent="0.25">
      <c r="A357" s="41" t="str">
        <f>IF(G357&lt;&gt;"",1+MAX($A$13:A356),"")</f>
        <v/>
      </c>
      <c r="D357"/>
      <c r="E357"/>
      <c r="I357" s="93"/>
      <c r="J357" s="94"/>
      <c r="K357" s="104"/>
      <c r="P357" s="92"/>
    </row>
    <row r="358" spans="1:16" x14ac:dyDescent="0.25">
      <c r="A358" s="41" t="str">
        <f>IF(G358&lt;&gt;"",1+MAX($A$13:A357),"")</f>
        <v/>
      </c>
      <c r="D358" s="103" t="s">
        <v>43</v>
      </c>
      <c r="E358"/>
      <c r="I358" s="93"/>
      <c r="J358" s="94"/>
      <c r="K358" s="104"/>
      <c r="P358" s="92"/>
    </row>
    <row r="359" spans="1:16" x14ac:dyDescent="0.25">
      <c r="A359" s="41">
        <f>IF(G359&lt;&gt;"",1+MAX($A$13:A358),"")</f>
        <v>235</v>
      </c>
      <c r="C359" s="89" t="s">
        <v>42</v>
      </c>
      <c r="D359" s="96" t="s">
        <v>235</v>
      </c>
      <c r="E359" s="100">
        <f>1258.17*2/27</f>
        <v>93.197777777777787</v>
      </c>
      <c r="F359" s="91">
        <f>VLOOKUP(H359,'PROJECT SUMMARY'!$C$24:$D$31,2,0)</f>
        <v>0.05</v>
      </c>
      <c r="G359" s="95">
        <f t="shared" ref="G359" si="267">E359*(1+F359)</f>
        <v>97.857666666666674</v>
      </c>
      <c r="H359" s="89" t="s">
        <v>15</v>
      </c>
      <c r="I359" s="93">
        <v>0.55000000000000004</v>
      </c>
      <c r="J359" s="94">
        <f t="shared" ref="J359" si="268">I359*G359</f>
        <v>53.821716666666674</v>
      </c>
      <c r="K359" s="90">
        <v>90</v>
      </c>
      <c r="L359" s="90">
        <f>K359*J359</f>
        <v>4843.9545000000007</v>
      </c>
      <c r="M359" s="90">
        <v>0</v>
      </c>
      <c r="N359" s="90">
        <f>M359*G359</f>
        <v>0</v>
      </c>
      <c r="O359" s="90">
        <f t="shared" ref="O359" si="269">L359+N359</f>
        <v>4843.9545000000007</v>
      </c>
      <c r="P359" s="92"/>
    </row>
    <row r="360" spans="1:16" x14ac:dyDescent="0.25">
      <c r="A360" s="41" t="str">
        <f>IF(G360&lt;&gt;"",1+MAX($A$13:A359),"")</f>
        <v/>
      </c>
      <c r="D360" s="96"/>
      <c r="E360" s="100"/>
      <c r="I360" s="93"/>
      <c r="J360" s="94"/>
      <c r="P360" s="92"/>
    </row>
    <row r="361" spans="1:16" x14ac:dyDescent="0.25">
      <c r="A361" s="41">
        <f>IF(G361&lt;&gt;"",1+MAX($A$13:A360),"")</f>
        <v>236</v>
      </c>
      <c r="C361" s="89" t="s">
        <v>42</v>
      </c>
      <c r="D361" s="96" t="s">
        <v>236</v>
      </c>
      <c r="E361" s="100">
        <v>712.78702962962961</v>
      </c>
      <c r="F361" s="91">
        <f>VLOOKUP(H361,'PROJECT SUMMARY'!$C$24:$D$31,2,0)</f>
        <v>0.05</v>
      </c>
      <c r="G361" s="95">
        <f t="shared" ref="G361:G362" si="270">E361*(1+F361)</f>
        <v>748.42638111111114</v>
      </c>
      <c r="H361" s="89" t="s">
        <v>15</v>
      </c>
      <c r="I361" s="93">
        <v>0.22</v>
      </c>
      <c r="J361" s="94">
        <f t="shared" ref="J361:J362" si="271">I361*G361</f>
        <v>164.65380384444444</v>
      </c>
      <c r="K361" s="90">
        <v>90</v>
      </c>
      <c r="L361" s="90">
        <f t="shared" ref="L361:L362" si="272">K361*J361</f>
        <v>14818.842345999999</v>
      </c>
      <c r="M361" s="90">
        <v>0</v>
      </c>
      <c r="N361" s="90">
        <f t="shared" ref="N361:N362" si="273">M361*G361</f>
        <v>0</v>
      </c>
      <c r="O361" s="90">
        <f t="shared" ref="O361:O362" si="274">L361+N361</f>
        <v>14818.842345999999</v>
      </c>
      <c r="P361" s="92"/>
    </row>
    <row r="362" spans="1:16" x14ac:dyDescent="0.25">
      <c r="A362" s="41">
        <f>IF(G362&lt;&gt;"",1+MAX($A$13:A361),"")</f>
        <v>237</v>
      </c>
      <c r="C362" s="89" t="s">
        <v>42</v>
      </c>
      <c r="D362" s="96" t="s">
        <v>237</v>
      </c>
      <c r="E362" s="100">
        <v>1388.2555259259259</v>
      </c>
      <c r="F362" s="91">
        <f>VLOOKUP(H362,'PROJECT SUMMARY'!$C$24:$D$31,2,0)</f>
        <v>0.05</v>
      </c>
      <c r="G362" s="95">
        <f t="shared" si="270"/>
        <v>1457.6683022222223</v>
      </c>
      <c r="H362" s="89" t="s">
        <v>15</v>
      </c>
      <c r="I362" s="93">
        <v>0.22</v>
      </c>
      <c r="J362" s="94">
        <f t="shared" si="271"/>
        <v>320.68702648888893</v>
      </c>
      <c r="K362" s="90">
        <v>90</v>
      </c>
      <c r="L362" s="90">
        <f t="shared" si="272"/>
        <v>28861.832384000005</v>
      </c>
      <c r="M362" s="90">
        <v>0</v>
      </c>
      <c r="N362" s="90">
        <f t="shared" si="273"/>
        <v>0</v>
      </c>
      <c r="O362" s="90">
        <f t="shared" si="274"/>
        <v>28861.832384000005</v>
      </c>
      <c r="P362" s="92"/>
    </row>
    <row r="363" spans="1:16" x14ac:dyDescent="0.25">
      <c r="A363" s="41" t="str">
        <f>IF(G363&lt;&gt;"",1+MAX($A$13:A362),"")</f>
        <v/>
      </c>
      <c r="D363" s="96"/>
      <c r="E363" s="100"/>
      <c r="I363" s="93"/>
      <c r="J363" s="94"/>
      <c r="P363" s="92"/>
    </row>
    <row r="364" spans="1:16" x14ac:dyDescent="0.25">
      <c r="A364" s="41">
        <f>IF(G364&lt;&gt;"",1+MAX($A$13:A363),"")</f>
        <v>238</v>
      </c>
      <c r="C364" s="89" t="s">
        <v>42</v>
      </c>
      <c r="D364" s="96" t="s">
        <v>238</v>
      </c>
      <c r="E364" s="100">
        <f>E362-E361</f>
        <v>675.46849629629628</v>
      </c>
      <c r="F364" s="91">
        <f>VLOOKUP(H364,'PROJECT SUMMARY'!$C$24:$D$31,2,0)</f>
        <v>0.05</v>
      </c>
      <c r="G364" s="95">
        <f t="shared" ref="G364" si="275">E364*(1+F364)</f>
        <v>709.24192111111108</v>
      </c>
      <c r="H364" s="89" t="s">
        <v>15</v>
      </c>
      <c r="I364" s="93">
        <v>0.15</v>
      </c>
      <c r="J364" s="94">
        <f t="shared" ref="J364" si="276">I364*G364</f>
        <v>106.38628816666666</v>
      </c>
      <c r="K364" s="90">
        <v>90</v>
      </c>
      <c r="L364" s="90">
        <f>K364*J364</f>
        <v>9574.7659349999994</v>
      </c>
      <c r="M364" s="90">
        <v>15.5</v>
      </c>
      <c r="N364" s="90">
        <f>M364*G364</f>
        <v>10993.249777222221</v>
      </c>
      <c r="O364" s="90">
        <f t="shared" ref="O364" si="277">L364+N364</f>
        <v>20568.015712222223</v>
      </c>
      <c r="P364" s="92"/>
    </row>
    <row r="365" spans="1:16" x14ac:dyDescent="0.25">
      <c r="A365" s="41" t="str">
        <f>IF(G365&lt;&gt;"",1+MAX($A$13:A364),"")</f>
        <v/>
      </c>
      <c r="D365" s="96"/>
      <c r="E365" s="100"/>
      <c r="I365" s="93"/>
      <c r="J365" s="94"/>
      <c r="P365" s="92"/>
    </row>
    <row r="366" spans="1:16" x14ac:dyDescent="0.25">
      <c r="A366" s="41">
        <f>IF(G366&lt;&gt;"",1+MAX($A$13:A365),"")</f>
        <v>239</v>
      </c>
      <c r="C366" s="89" t="s">
        <v>42</v>
      </c>
      <c r="D366" s="96" t="s">
        <v>239</v>
      </c>
      <c r="E366" s="100">
        <v>24141</v>
      </c>
      <c r="F366" s="91">
        <f>VLOOKUP(H366,'PROJECT SUMMARY'!$C$24:$D$31,2,0)</f>
        <v>0.05</v>
      </c>
      <c r="G366" s="95">
        <f t="shared" ref="G366" si="278">E366*(1+F366)</f>
        <v>25348.05</v>
      </c>
      <c r="H366" s="89" t="s">
        <v>11</v>
      </c>
      <c r="I366" s="93">
        <v>5.0000000000000001E-3</v>
      </c>
      <c r="J366" s="94">
        <f t="shared" ref="J366" si="279">I366*G366</f>
        <v>126.74025</v>
      </c>
      <c r="K366" s="90">
        <v>90</v>
      </c>
      <c r="L366" s="90">
        <f>K366*J366</f>
        <v>11406.622499999999</v>
      </c>
      <c r="M366" s="90">
        <v>0</v>
      </c>
      <c r="N366" s="90">
        <f>M366*G366</f>
        <v>0</v>
      </c>
      <c r="O366" s="90">
        <f t="shared" ref="O366" si="280">L366+N366</f>
        <v>11406.622499999999</v>
      </c>
      <c r="P366" s="92"/>
    </row>
    <row r="367" spans="1:16" ht="16.5" thickBot="1" x14ac:dyDescent="0.3">
      <c r="A367" s="41" t="str">
        <f>IF(G367&lt;&gt;"",1+MAX($A$13:A366),"")</f>
        <v/>
      </c>
      <c r="D367" s="96"/>
      <c r="E367" s="100"/>
      <c r="I367" s="93"/>
      <c r="J367" s="94"/>
      <c r="P367" s="92"/>
    </row>
    <row r="368" spans="1:16" ht="16.5" thickBot="1" x14ac:dyDescent="0.3">
      <c r="A368" s="73" t="str">
        <f>IF(G368&lt;&gt;"",1+MAX($A$13:A367),"")</f>
        <v/>
      </c>
      <c r="B368" s="69"/>
      <c r="C368" s="69" t="s">
        <v>39</v>
      </c>
      <c r="D368" s="67" t="s">
        <v>290</v>
      </c>
      <c r="E368" s="71"/>
      <c r="F368" s="72"/>
      <c r="G368" s="71"/>
      <c r="H368" s="71"/>
      <c r="I368" s="67"/>
      <c r="J368" s="67"/>
      <c r="K368" s="68"/>
      <c r="L368" s="68"/>
      <c r="M368" s="68"/>
      <c r="N368" s="68"/>
      <c r="O368" s="70"/>
      <c r="P368" s="74">
        <f>SUM(O369:O412)</f>
        <v>183789.10216913896</v>
      </c>
    </row>
    <row r="369" spans="1:16" x14ac:dyDescent="0.25">
      <c r="A369" s="41" t="str">
        <f>IF(G369&lt;&gt;"",1+MAX($A$13:A368),"")</f>
        <v/>
      </c>
      <c r="D369"/>
      <c r="E369"/>
      <c r="I369" s="93"/>
      <c r="J369" s="94"/>
      <c r="K369" s="104"/>
      <c r="P369" s="92"/>
    </row>
    <row r="370" spans="1:16" x14ac:dyDescent="0.25">
      <c r="A370" s="41" t="str">
        <f>IF(G370&lt;&gt;"",1+MAX($A$13:A369),"")</f>
        <v/>
      </c>
      <c r="D370" s="103" t="s">
        <v>240</v>
      </c>
      <c r="E370"/>
      <c r="I370" s="93"/>
      <c r="J370" s="94"/>
      <c r="K370" s="104"/>
      <c r="P370" s="92"/>
    </row>
    <row r="371" spans="1:16" x14ac:dyDescent="0.25">
      <c r="A371" s="41">
        <f>IF(G371&lt;&gt;"",1+MAX($A$13:A370),"")</f>
        <v>240</v>
      </c>
      <c r="C371" s="89" t="s">
        <v>39</v>
      </c>
      <c r="D371" s="96" t="s">
        <v>241</v>
      </c>
      <c r="E371" s="100">
        <f>1121.12*0.334/27</f>
        <v>13.868669629629629</v>
      </c>
      <c r="F371" s="91">
        <f>VLOOKUP(H371,'PROJECT SUMMARY'!$C$24:$D$31,2,0)</f>
        <v>0.05</v>
      </c>
      <c r="G371" s="95">
        <f t="shared" ref="G371:G373" si="281">E371*(1+F371)</f>
        <v>14.562103111111112</v>
      </c>
      <c r="H371" s="89" t="s">
        <v>15</v>
      </c>
      <c r="I371" s="93">
        <v>2.9</v>
      </c>
      <c r="J371" s="94">
        <f t="shared" ref="J371" si="282">I371*G371</f>
        <v>42.23009902222222</v>
      </c>
      <c r="K371" s="90">
        <v>55</v>
      </c>
      <c r="L371" s="90">
        <f t="shared" ref="L371" si="283">K371*J371</f>
        <v>2322.6554462222221</v>
      </c>
      <c r="M371" s="90">
        <v>220</v>
      </c>
      <c r="N371" s="90">
        <f t="shared" ref="N371:N373" si="284">M371*G371</f>
        <v>3203.6626844444445</v>
      </c>
      <c r="O371" s="90">
        <f t="shared" ref="O371:O373" si="285">L371+N371</f>
        <v>5526.3181306666665</v>
      </c>
      <c r="P371" s="92"/>
    </row>
    <row r="372" spans="1:16" x14ac:dyDescent="0.25">
      <c r="A372" s="41">
        <f>IF(G372&lt;&gt;"",1+MAX($A$13:A371),"")</f>
        <v>241</v>
      </c>
      <c r="C372" s="89" t="s">
        <v>39</v>
      </c>
      <c r="D372" s="96" t="s">
        <v>242</v>
      </c>
      <c r="E372" s="100">
        <f>1121.12*0.334/27</f>
        <v>13.868669629629629</v>
      </c>
      <c r="F372" s="91">
        <f>VLOOKUP(H372,'PROJECT SUMMARY'!$C$24:$D$31,2,0)</f>
        <v>0.05</v>
      </c>
      <c r="G372" s="95">
        <f t="shared" si="281"/>
        <v>14.562103111111112</v>
      </c>
      <c r="H372" s="89" t="s">
        <v>15</v>
      </c>
      <c r="I372" s="93">
        <v>0.55000000000000004</v>
      </c>
      <c r="J372" s="94">
        <f t="shared" ref="J372:J373" si="286">I372*G372</f>
        <v>8.0091567111111122</v>
      </c>
      <c r="K372" s="90">
        <v>55</v>
      </c>
      <c r="L372" s="90">
        <f t="shared" ref="L372:L373" si="287">K372*J372</f>
        <v>440.50361911111116</v>
      </c>
      <c r="M372" s="90">
        <v>45</v>
      </c>
      <c r="N372" s="90">
        <f t="shared" si="284"/>
        <v>655.29464000000007</v>
      </c>
      <c r="O372" s="90">
        <f t="shared" si="285"/>
        <v>1095.7982591111113</v>
      </c>
      <c r="P372" s="92"/>
    </row>
    <row r="373" spans="1:16" x14ac:dyDescent="0.25">
      <c r="A373" s="41">
        <f>IF(G373&lt;&gt;"",1+MAX($A$13:A372),"")</f>
        <v>242</v>
      </c>
      <c r="C373" s="89" t="s">
        <v>39</v>
      </c>
      <c r="D373" s="96" t="s">
        <v>48</v>
      </c>
      <c r="E373" s="100">
        <v>1121.1199999999999</v>
      </c>
      <c r="F373" s="91">
        <f>VLOOKUP(H373,'PROJECT SUMMARY'!$C$24:$D$31,2,0)</f>
        <v>0.05</v>
      </c>
      <c r="G373" s="95">
        <f t="shared" si="281"/>
        <v>1177.1759999999999</v>
      </c>
      <c r="H373" s="89" t="s">
        <v>11</v>
      </c>
      <c r="I373" s="93">
        <v>1.4E-2</v>
      </c>
      <c r="J373" s="94">
        <f t="shared" si="286"/>
        <v>16.480463999999998</v>
      </c>
      <c r="K373" s="90">
        <v>55</v>
      </c>
      <c r="L373" s="90">
        <f t="shared" si="287"/>
        <v>906.42551999999989</v>
      </c>
      <c r="M373" s="90">
        <v>0</v>
      </c>
      <c r="N373" s="90">
        <f t="shared" si="284"/>
        <v>0</v>
      </c>
      <c r="O373" s="90">
        <f t="shared" si="285"/>
        <v>906.42551999999989</v>
      </c>
      <c r="P373" s="92"/>
    </row>
    <row r="374" spans="1:16" x14ac:dyDescent="0.25">
      <c r="A374" s="41" t="str">
        <f>IF(G374&lt;&gt;"",1+MAX($A$13:A373),"")</f>
        <v/>
      </c>
      <c r="D374" s="105"/>
      <c r="E374"/>
      <c r="I374" s="93"/>
      <c r="J374" s="94"/>
      <c r="K374" s="104"/>
      <c r="P374" s="92"/>
    </row>
    <row r="375" spans="1:16" x14ac:dyDescent="0.25">
      <c r="A375" s="41" t="str">
        <f>IF(G375&lt;&gt;"",1+MAX($A$13:A374),"")</f>
        <v/>
      </c>
      <c r="D375" s="103" t="s">
        <v>243</v>
      </c>
      <c r="E375"/>
      <c r="I375" s="93"/>
      <c r="J375" s="94"/>
      <c r="K375" s="104"/>
      <c r="P375" s="92"/>
    </row>
    <row r="376" spans="1:16" x14ac:dyDescent="0.25">
      <c r="A376" s="41">
        <f>IF(G376&lt;&gt;"",1+MAX($A$13:A375),"")</f>
        <v>243</v>
      </c>
      <c r="C376" s="89" t="s">
        <v>39</v>
      </c>
      <c r="D376" s="96" t="s">
        <v>244</v>
      </c>
      <c r="E376" s="100">
        <f>1119.95*0.667/27</f>
        <v>27.666912962962964</v>
      </c>
      <c r="F376" s="91">
        <f>VLOOKUP(H376,'PROJECT SUMMARY'!$C$24:$D$31,2,0)</f>
        <v>0.05</v>
      </c>
      <c r="G376" s="95">
        <f t="shared" ref="G376:G378" si="288">E376*(1+F376)</f>
        <v>29.050258611111115</v>
      </c>
      <c r="H376" s="89" t="s">
        <v>15</v>
      </c>
      <c r="I376" s="93">
        <v>2.9</v>
      </c>
      <c r="J376" s="94">
        <f t="shared" ref="J376:J378" si="289">I376*G376</f>
        <v>84.245749972222228</v>
      </c>
      <c r="K376" s="90">
        <v>55</v>
      </c>
      <c r="L376" s="90">
        <f t="shared" ref="L376:L378" si="290">K376*J376</f>
        <v>4633.5162484722223</v>
      </c>
      <c r="M376" s="90">
        <v>220</v>
      </c>
      <c r="N376" s="90">
        <f t="shared" ref="N376:N378" si="291">M376*G376</f>
        <v>6391.0568944444449</v>
      </c>
      <c r="O376" s="90">
        <f t="shared" ref="O376:O378" si="292">L376+N376</f>
        <v>11024.573142916666</v>
      </c>
      <c r="P376" s="92"/>
    </row>
    <row r="377" spans="1:16" x14ac:dyDescent="0.25">
      <c r="A377" s="41">
        <f>IF(G377&lt;&gt;"",1+MAX($A$13:A376),"")</f>
        <v>244</v>
      </c>
      <c r="C377" s="89" t="s">
        <v>39</v>
      </c>
      <c r="D377" s="96" t="s">
        <v>245</v>
      </c>
      <c r="E377" s="100">
        <f>1119/1*2*0.668</f>
        <v>1494.9840000000002</v>
      </c>
      <c r="F377" s="91">
        <f>VLOOKUP(H377,'PROJECT SUMMARY'!$C$24:$D$31,2,0)</f>
        <v>0.05</v>
      </c>
      <c r="G377" s="95">
        <f t="shared" si="288"/>
        <v>1569.7332000000001</v>
      </c>
      <c r="H377" s="89" t="s">
        <v>78</v>
      </c>
      <c r="I377" s="93">
        <v>0.55000000000000004</v>
      </c>
      <c r="J377" s="94">
        <f t="shared" si="289"/>
        <v>863.35326000000009</v>
      </c>
      <c r="K377" s="90">
        <v>55</v>
      </c>
      <c r="L377" s="90">
        <f t="shared" si="290"/>
        <v>47484.429300000003</v>
      </c>
      <c r="M377" s="90">
        <v>45</v>
      </c>
      <c r="N377" s="90">
        <f t="shared" si="291"/>
        <v>70637.994000000006</v>
      </c>
      <c r="O377" s="90">
        <f t="shared" si="292"/>
        <v>118122.42330000001</v>
      </c>
      <c r="P377" s="92"/>
    </row>
    <row r="378" spans="1:16" x14ac:dyDescent="0.25">
      <c r="A378" s="41">
        <f>IF(G378&lt;&gt;"",1+MAX($A$13:A377),"")</f>
        <v>245</v>
      </c>
      <c r="C378" s="89" t="s">
        <v>39</v>
      </c>
      <c r="D378" s="96" t="s">
        <v>246</v>
      </c>
      <c r="E378" s="100">
        <f>1119.95*0.334/27</f>
        <v>13.854196296296298</v>
      </c>
      <c r="F378" s="91">
        <f>VLOOKUP(H378,'PROJECT SUMMARY'!$C$24:$D$31,2,0)</f>
        <v>0.05</v>
      </c>
      <c r="G378" s="95">
        <f t="shared" si="288"/>
        <v>14.546906111111113</v>
      </c>
      <c r="H378" s="89" t="s">
        <v>15</v>
      </c>
      <c r="I378" s="93">
        <v>0.55000000000000004</v>
      </c>
      <c r="J378" s="94">
        <f t="shared" si="289"/>
        <v>8.0007983611111122</v>
      </c>
      <c r="K378" s="90">
        <v>55</v>
      </c>
      <c r="L378" s="90">
        <f t="shared" si="290"/>
        <v>440.04390986111116</v>
      </c>
      <c r="M378" s="90">
        <v>45</v>
      </c>
      <c r="N378" s="90">
        <f t="shared" si="291"/>
        <v>654.6107750000001</v>
      </c>
      <c r="O378" s="90">
        <f t="shared" si="292"/>
        <v>1094.6546848611113</v>
      </c>
      <c r="P378" s="92"/>
    </row>
    <row r="379" spans="1:16" x14ac:dyDescent="0.25">
      <c r="A379" s="41" t="str">
        <f>IF(G379&lt;&gt;"",1+MAX($A$13:A378),"")</f>
        <v/>
      </c>
      <c r="D379" s="96"/>
      <c r="E379" s="100"/>
      <c r="I379" s="93"/>
      <c r="J379" s="94"/>
      <c r="P379" s="92"/>
    </row>
    <row r="380" spans="1:16" x14ac:dyDescent="0.25">
      <c r="A380" s="41" t="str">
        <f>IF(G380&lt;&gt;"",1+MAX($A$13:A379),"")</f>
        <v/>
      </c>
      <c r="D380" s="103" t="s">
        <v>247</v>
      </c>
      <c r="E380"/>
      <c r="I380" s="93"/>
      <c r="J380" s="94"/>
      <c r="K380" s="104"/>
      <c r="P380" s="92"/>
    </row>
    <row r="381" spans="1:16" x14ac:dyDescent="0.25">
      <c r="A381" s="41">
        <f>IF(G381&lt;&gt;"",1+MAX($A$13:A380),"")</f>
        <v>246</v>
      </c>
      <c r="C381" s="89" t="s">
        <v>39</v>
      </c>
      <c r="D381" s="96" t="s">
        <v>248</v>
      </c>
      <c r="E381" s="100">
        <v>573.51</v>
      </c>
      <c r="F381" s="91">
        <f>VLOOKUP(H381,'PROJECT SUMMARY'!$C$24:$D$31,2,0)</f>
        <v>0.05</v>
      </c>
      <c r="G381" s="95">
        <f t="shared" ref="G381" si="293">E381*(1+F381)</f>
        <v>602.18550000000005</v>
      </c>
      <c r="H381" s="89" t="s">
        <v>11</v>
      </c>
      <c r="I381" s="93">
        <v>0.125</v>
      </c>
      <c r="J381" s="94">
        <f t="shared" ref="J381" si="294">I381*G381</f>
        <v>75.273187500000006</v>
      </c>
      <c r="K381" s="90">
        <v>55</v>
      </c>
      <c r="L381" s="90">
        <f>K381*J381</f>
        <v>4140.0253124999999</v>
      </c>
      <c r="M381" s="90">
        <v>5.85</v>
      </c>
      <c r="N381" s="90">
        <f>M381*G381</f>
        <v>3522.785175</v>
      </c>
      <c r="O381" s="90">
        <f t="shared" ref="O381" si="295">L381+N381</f>
        <v>7662.8104874999999</v>
      </c>
      <c r="P381" s="92"/>
    </row>
    <row r="382" spans="1:16" x14ac:dyDescent="0.25">
      <c r="A382" s="41" t="str">
        <f>IF(G382&lt;&gt;"",1+MAX($A$13:A381),"")</f>
        <v/>
      </c>
      <c r="D382" s="105"/>
      <c r="E382"/>
      <c r="I382" s="93"/>
      <c r="J382" s="94"/>
      <c r="K382" s="104"/>
      <c r="P382" s="92"/>
    </row>
    <row r="383" spans="1:16" x14ac:dyDescent="0.25">
      <c r="A383" s="41" t="str">
        <f>IF(G383&lt;&gt;"",1+MAX($A$13:A382),"")</f>
        <v/>
      </c>
      <c r="D383" s="103" t="s">
        <v>249</v>
      </c>
      <c r="E383"/>
      <c r="I383" s="93"/>
      <c r="J383" s="94"/>
      <c r="K383" s="104"/>
      <c r="P383" s="92"/>
    </row>
    <row r="384" spans="1:16" x14ac:dyDescent="0.25">
      <c r="A384" s="41">
        <f>IF(G384&lt;&gt;"",1+MAX($A$13:A383),"")</f>
        <v>247</v>
      </c>
      <c r="C384" s="89" t="s">
        <v>39</v>
      </c>
      <c r="D384" s="96" t="s">
        <v>250</v>
      </c>
      <c r="E384" s="100">
        <f>167.73*0.5/27</f>
        <v>3.1061111111111108</v>
      </c>
      <c r="F384" s="91">
        <f>VLOOKUP(H384,'PROJECT SUMMARY'!$C$24:$D$31,2,0)</f>
        <v>0.05</v>
      </c>
      <c r="G384" s="95">
        <f t="shared" ref="G384:G386" si="296">E384*(1+F384)</f>
        <v>3.2614166666666664</v>
      </c>
      <c r="H384" s="89" t="s">
        <v>15</v>
      </c>
      <c r="I384" s="93">
        <v>2.9</v>
      </c>
      <c r="J384" s="94">
        <f t="shared" ref="J384:J385" si="297">I384*G384</f>
        <v>9.4581083333333318</v>
      </c>
      <c r="K384" s="90">
        <v>55</v>
      </c>
      <c r="L384" s="90">
        <f t="shared" ref="L384:L385" si="298">K384*J384</f>
        <v>520.19595833333324</v>
      </c>
      <c r="M384" s="90">
        <v>220</v>
      </c>
      <c r="N384" s="90">
        <f t="shared" ref="N384:N386" si="299">M384*G384</f>
        <v>717.51166666666666</v>
      </c>
      <c r="O384" s="90">
        <f t="shared" ref="O384:O386" si="300">L384+N384</f>
        <v>1237.707625</v>
      </c>
      <c r="P384" s="92"/>
    </row>
    <row r="385" spans="1:16" x14ac:dyDescent="0.25">
      <c r="A385" s="41">
        <f>IF(G385&lt;&gt;"",1+MAX($A$13:A384),"")</f>
        <v>248</v>
      </c>
      <c r="C385" s="89" t="s">
        <v>39</v>
      </c>
      <c r="D385" s="96" t="s">
        <v>251</v>
      </c>
      <c r="E385" s="100">
        <f>167.73*0.5/27</f>
        <v>3.1061111111111108</v>
      </c>
      <c r="F385" s="91">
        <f>VLOOKUP(H385,'PROJECT SUMMARY'!$C$24:$D$31,2,0)</f>
        <v>0.05</v>
      </c>
      <c r="G385" s="95">
        <f t="shared" si="296"/>
        <v>3.2614166666666664</v>
      </c>
      <c r="H385" s="89" t="s">
        <v>15</v>
      </c>
      <c r="I385" s="93">
        <v>0.55000000000000004</v>
      </c>
      <c r="J385" s="94">
        <f t="shared" si="297"/>
        <v>1.7937791666666667</v>
      </c>
      <c r="K385" s="90">
        <v>55</v>
      </c>
      <c r="L385" s="90">
        <f t="shared" si="298"/>
        <v>98.657854166666667</v>
      </c>
      <c r="M385" s="90">
        <v>45</v>
      </c>
      <c r="N385" s="90">
        <f t="shared" si="299"/>
        <v>146.76374999999999</v>
      </c>
      <c r="O385" s="90">
        <f t="shared" si="300"/>
        <v>245.42160416666667</v>
      </c>
      <c r="P385" s="92"/>
    </row>
    <row r="386" spans="1:16" x14ac:dyDescent="0.25">
      <c r="A386" s="41">
        <f>IF(G386&lt;&gt;"",1+MAX($A$13:A385),"")</f>
        <v>249</v>
      </c>
      <c r="C386" s="89" t="s">
        <v>39</v>
      </c>
      <c r="D386" s="96" t="s">
        <v>48</v>
      </c>
      <c r="E386" s="100">
        <v>167.73</v>
      </c>
      <c r="F386" s="91">
        <f>VLOOKUP(H386,'PROJECT SUMMARY'!$C$24:$D$31,2,0)</f>
        <v>0.05</v>
      </c>
      <c r="G386" s="95">
        <f t="shared" si="296"/>
        <v>176.1165</v>
      </c>
      <c r="H386" s="89" t="s">
        <v>11</v>
      </c>
      <c r="I386" s="93">
        <v>1.4E-2</v>
      </c>
      <c r="J386" s="94">
        <f t="shared" ref="J386" si="301">I386*G386</f>
        <v>2.4656310000000001</v>
      </c>
      <c r="K386" s="90">
        <v>55</v>
      </c>
      <c r="L386" s="90">
        <f t="shared" ref="L386" si="302">K386*J386</f>
        <v>135.60970500000002</v>
      </c>
      <c r="M386" s="90">
        <v>0</v>
      </c>
      <c r="N386" s="90">
        <f t="shared" si="299"/>
        <v>0</v>
      </c>
      <c r="O386" s="90">
        <f t="shared" si="300"/>
        <v>135.60970500000002</v>
      </c>
      <c r="P386" s="92"/>
    </row>
    <row r="387" spans="1:16" x14ac:dyDescent="0.25">
      <c r="A387" s="41" t="str">
        <f>IF(G387&lt;&gt;"",1+MAX($A$13:A386),"")</f>
        <v/>
      </c>
      <c r="D387" s="105"/>
      <c r="E387"/>
      <c r="I387" s="93"/>
      <c r="J387" s="94"/>
      <c r="K387" s="104"/>
      <c r="P387" s="92"/>
    </row>
    <row r="388" spans="1:16" x14ac:dyDescent="0.25">
      <c r="A388" s="41" t="str">
        <f>IF(G388&lt;&gt;"",1+MAX($A$13:A387),"")</f>
        <v/>
      </c>
      <c r="D388" s="103" t="s">
        <v>252</v>
      </c>
      <c r="E388"/>
      <c r="I388" s="93"/>
      <c r="J388" s="94"/>
      <c r="K388" s="104"/>
      <c r="P388" s="92"/>
    </row>
    <row r="389" spans="1:16" x14ac:dyDescent="0.25">
      <c r="A389" s="41">
        <f>IF(G389&lt;&gt;"",1+MAX($A$13:A388),"")</f>
        <v>250</v>
      </c>
      <c r="C389" s="89" t="s">
        <v>39</v>
      </c>
      <c r="D389" s="96" t="s">
        <v>253</v>
      </c>
      <c r="E389" s="100">
        <v>501.78</v>
      </c>
      <c r="F389" s="91">
        <f>VLOOKUP(H389,'PROJECT SUMMARY'!$C$24:$D$31,2,0)</f>
        <v>0.05</v>
      </c>
      <c r="G389" s="95">
        <f t="shared" ref="G389:G390" si="303">E389*(1+F389)</f>
        <v>526.86900000000003</v>
      </c>
      <c r="H389" s="89" t="s">
        <v>11</v>
      </c>
      <c r="I389" s="93">
        <v>2.5000000000000001E-2</v>
      </c>
      <c r="J389" s="94">
        <f t="shared" ref="J389:J390" si="304">I389*G389</f>
        <v>13.171725000000002</v>
      </c>
      <c r="K389" s="90">
        <v>55</v>
      </c>
      <c r="L389" s="90">
        <f t="shared" ref="L389:L390" si="305">K389*J389</f>
        <v>724.44487500000014</v>
      </c>
      <c r="M389" s="90">
        <v>2.88</v>
      </c>
      <c r="N389" s="90">
        <f t="shared" ref="N389:N390" si="306">M389*G389</f>
        <v>1517.3827200000001</v>
      </c>
      <c r="O389" s="90">
        <f t="shared" ref="O389:O390" si="307">L389+N389</f>
        <v>2241.8275950000002</v>
      </c>
      <c r="P389" s="92"/>
    </row>
    <row r="390" spans="1:16" x14ac:dyDescent="0.25">
      <c r="A390" s="41">
        <f>IF(G390&lt;&gt;"",1+MAX($A$13:A389),"")</f>
        <v>251</v>
      </c>
      <c r="C390" s="89" t="s">
        <v>39</v>
      </c>
      <c r="D390" s="96" t="s">
        <v>48</v>
      </c>
      <c r="E390" s="100">
        <v>501.78</v>
      </c>
      <c r="F390" s="91">
        <f>VLOOKUP(H390,'PROJECT SUMMARY'!$C$24:$D$31,2,0)</f>
        <v>0.05</v>
      </c>
      <c r="G390" s="95">
        <f t="shared" si="303"/>
        <v>526.86900000000003</v>
      </c>
      <c r="H390" s="89" t="s">
        <v>11</v>
      </c>
      <c r="I390" s="93">
        <v>1.4E-2</v>
      </c>
      <c r="J390" s="94">
        <f t="shared" si="304"/>
        <v>7.3761660000000004</v>
      </c>
      <c r="K390" s="90">
        <v>55</v>
      </c>
      <c r="L390" s="90">
        <f t="shared" si="305"/>
        <v>405.68913000000003</v>
      </c>
      <c r="M390" s="90">
        <v>0</v>
      </c>
      <c r="N390" s="90">
        <f t="shared" si="306"/>
        <v>0</v>
      </c>
      <c r="O390" s="90">
        <f t="shared" si="307"/>
        <v>405.68913000000003</v>
      </c>
      <c r="P390" s="92"/>
    </row>
    <row r="391" spans="1:16" x14ac:dyDescent="0.25">
      <c r="A391" s="41" t="str">
        <f>IF(G391&lt;&gt;"",1+MAX($A$13:A390),"")</f>
        <v/>
      </c>
      <c r="D391" s="96"/>
      <c r="E391" s="100"/>
      <c r="I391" s="93"/>
      <c r="J391" s="94"/>
      <c r="P391" s="92"/>
    </row>
    <row r="392" spans="1:16" x14ac:dyDescent="0.25">
      <c r="A392" s="41" t="str">
        <f>IF(G392&lt;&gt;"",1+MAX($A$13:A391),"")</f>
        <v/>
      </c>
      <c r="D392" s="103" t="s">
        <v>254</v>
      </c>
      <c r="E392"/>
      <c r="I392" s="93"/>
      <c r="J392" s="94"/>
      <c r="K392" s="104"/>
      <c r="P392" s="92"/>
    </row>
    <row r="393" spans="1:16" x14ac:dyDescent="0.25">
      <c r="A393" s="41">
        <f>IF(G393&lt;&gt;"",1+MAX($A$13:A392),"")</f>
        <v>252</v>
      </c>
      <c r="C393" s="89" t="s">
        <v>39</v>
      </c>
      <c r="D393" s="96" t="s">
        <v>255</v>
      </c>
      <c r="E393" s="100">
        <f>632.97*0.334/27</f>
        <v>7.8300733333333348</v>
      </c>
      <c r="F393" s="91">
        <f>VLOOKUP(H393,'PROJECT SUMMARY'!$C$24:$D$31,2,0)</f>
        <v>0.05</v>
      </c>
      <c r="G393" s="95">
        <f t="shared" ref="G393:G396" si="308">E393*(1+F393)</f>
        <v>8.2215770000000017</v>
      </c>
      <c r="H393" s="89" t="s">
        <v>15</v>
      </c>
      <c r="I393" s="93">
        <v>2.9</v>
      </c>
      <c r="J393" s="94">
        <f t="shared" ref="J393" si="309">I393*G393</f>
        <v>23.842573300000005</v>
      </c>
      <c r="K393" s="90">
        <v>55</v>
      </c>
      <c r="L393" s="90">
        <f t="shared" ref="L393" si="310">K393*J393</f>
        <v>1311.3415315000002</v>
      </c>
      <c r="M393" s="90">
        <v>220</v>
      </c>
      <c r="N393" s="90">
        <f t="shared" ref="N393:N396" si="311">M393*G393</f>
        <v>1808.7469400000004</v>
      </c>
      <c r="O393" s="90">
        <f t="shared" ref="O393:O396" si="312">L393+N393</f>
        <v>3120.0884715000007</v>
      </c>
      <c r="P393" s="92"/>
    </row>
    <row r="394" spans="1:16" x14ac:dyDescent="0.25">
      <c r="A394" s="41">
        <f>IF(G394&lt;&gt;"",1+MAX($A$13:A393),"")</f>
        <v>253</v>
      </c>
      <c r="C394" s="89" t="s">
        <v>39</v>
      </c>
      <c r="D394" s="96" t="s">
        <v>256</v>
      </c>
      <c r="E394" s="100">
        <v>632.97</v>
      </c>
      <c r="F394" s="91">
        <f>VLOOKUP(H394,'PROJECT SUMMARY'!$C$24:$D$31,2,0)</f>
        <v>0.05</v>
      </c>
      <c r="G394" s="95">
        <f t="shared" si="308"/>
        <v>664.61850000000004</v>
      </c>
      <c r="H394" s="89" t="s">
        <v>11</v>
      </c>
      <c r="I394" s="93">
        <v>0.01</v>
      </c>
      <c r="J394" s="94">
        <f t="shared" ref="J394:J396" si="313">I394*G394</f>
        <v>6.6461850000000009</v>
      </c>
      <c r="K394" s="90">
        <v>55</v>
      </c>
      <c r="L394" s="90">
        <f t="shared" ref="L394:L396" si="314">K394*J394</f>
        <v>365.54017500000003</v>
      </c>
      <c r="M394" s="90">
        <v>0.46</v>
      </c>
      <c r="N394" s="90">
        <f t="shared" si="311"/>
        <v>305.72451000000001</v>
      </c>
      <c r="O394" s="90">
        <f t="shared" si="312"/>
        <v>671.2646850000001</v>
      </c>
      <c r="P394" s="92"/>
    </row>
    <row r="395" spans="1:16" x14ac:dyDescent="0.25">
      <c r="A395" s="41">
        <f>IF(G395&lt;&gt;"",1+MAX($A$13:A394),"")</f>
        <v>254</v>
      </c>
      <c r="C395" s="89" t="s">
        <v>39</v>
      </c>
      <c r="D395" s="96" t="s">
        <v>257</v>
      </c>
      <c r="E395" s="100">
        <f>632.97*0.334/27</f>
        <v>7.8300733333333348</v>
      </c>
      <c r="F395" s="91">
        <f>VLOOKUP(H395,'PROJECT SUMMARY'!$C$24:$D$31,2,0)</f>
        <v>0.05</v>
      </c>
      <c r="G395" s="95">
        <f t="shared" si="308"/>
        <v>8.2215770000000017</v>
      </c>
      <c r="H395" s="89" t="s">
        <v>15</v>
      </c>
      <c r="I395" s="93">
        <v>0.55000000000000004</v>
      </c>
      <c r="J395" s="94">
        <f t="shared" si="313"/>
        <v>4.5218673500000017</v>
      </c>
      <c r="K395" s="90">
        <v>55</v>
      </c>
      <c r="L395" s="90">
        <f t="shared" si="314"/>
        <v>248.7027042500001</v>
      </c>
      <c r="M395" s="90">
        <v>45</v>
      </c>
      <c r="N395" s="90">
        <f t="shared" si="311"/>
        <v>369.97096500000009</v>
      </c>
      <c r="O395" s="90">
        <f t="shared" si="312"/>
        <v>618.67366925000022</v>
      </c>
      <c r="P395" s="92"/>
    </row>
    <row r="396" spans="1:16" x14ac:dyDescent="0.25">
      <c r="A396" s="41">
        <f>IF(G396&lt;&gt;"",1+MAX($A$13:A395),"")</f>
        <v>255</v>
      </c>
      <c r="C396" s="89" t="s">
        <v>39</v>
      </c>
      <c r="D396" s="96" t="s">
        <v>48</v>
      </c>
      <c r="E396" s="100">
        <v>632.97</v>
      </c>
      <c r="F396" s="91">
        <f>VLOOKUP(H396,'PROJECT SUMMARY'!$C$24:$D$31,2,0)</f>
        <v>0.05</v>
      </c>
      <c r="G396" s="95">
        <f t="shared" si="308"/>
        <v>664.61850000000004</v>
      </c>
      <c r="H396" s="89" t="s">
        <v>11</v>
      </c>
      <c r="I396" s="93">
        <v>1.4E-2</v>
      </c>
      <c r="J396" s="94">
        <f t="shared" si="313"/>
        <v>9.3046590000000009</v>
      </c>
      <c r="K396" s="90">
        <v>55</v>
      </c>
      <c r="L396" s="90">
        <f t="shared" si="314"/>
        <v>511.75624500000004</v>
      </c>
      <c r="M396" s="90">
        <v>0</v>
      </c>
      <c r="N396" s="90">
        <f t="shared" si="311"/>
        <v>0</v>
      </c>
      <c r="O396" s="90">
        <f t="shared" si="312"/>
        <v>511.75624500000004</v>
      </c>
      <c r="P396" s="92"/>
    </row>
    <row r="397" spans="1:16" x14ac:dyDescent="0.25">
      <c r="A397" s="41" t="str">
        <f>IF(G397&lt;&gt;"",1+MAX($A$13:A396),"")</f>
        <v/>
      </c>
      <c r="D397" s="96"/>
      <c r="E397" s="100"/>
      <c r="I397" s="93"/>
      <c r="J397" s="94"/>
      <c r="P397" s="92"/>
    </row>
    <row r="398" spans="1:16" x14ac:dyDescent="0.25">
      <c r="A398" s="41">
        <f>IF(G398&lt;&gt;"",1+MAX($A$13:A397),"")</f>
        <v>256</v>
      </c>
      <c r="C398" s="89" t="s">
        <v>39</v>
      </c>
      <c r="D398" s="96" t="s">
        <v>258</v>
      </c>
      <c r="E398" s="100">
        <v>127.8</v>
      </c>
      <c r="F398" s="91">
        <f>VLOOKUP(H398,'PROJECT SUMMARY'!$C$24:$D$31,2,0)</f>
        <v>0.05</v>
      </c>
      <c r="G398" s="95">
        <f t="shared" ref="G398" si="315">E398*(1+F398)</f>
        <v>134.19</v>
      </c>
      <c r="H398" s="89" t="s">
        <v>10</v>
      </c>
      <c r="I398" s="93">
        <v>0.125</v>
      </c>
      <c r="J398" s="94">
        <f t="shared" ref="J398" si="316">I398*G398</f>
        <v>16.77375</v>
      </c>
      <c r="K398" s="90">
        <v>55</v>
      </c>
      <c r="L398" s="90">
        <f>K398*J398</f>
        <v>922.55624999999998</v>
      </c>
      <c r="M398" s="90">
        <v>9.11</v>
      </c>
      <c r="N398" s="90">
        <f>M398*G398</f>
        <v>1222.4708999999998</v>
      </c>
      <c r="O398" s="90">
        <f t="shared" ref="O398" si="317">L398+N398</f>
        <v>2145.0271499999999</v>
      </c>
      <c r="P398" s="92"/>
    </row>
    <row r="399" spans="1:16" x14ac:dyDescent="0.25">
      <c r="A399" s="41" t="str">
        <f>IF(G399&lt;&gt;"",1+MAX($A$13:A398),"")</f>
        <v/>
      </c>
      <c r="D399" s="105"/>
      <c r="E399"/>
      <c r="I399" s="93"/>
      <c r="J399" s="94"/>
      <c r="K399" s="104"/>
      <c r="P399" s="92"/>
    </row>
    <row r="400" spans="1:16" x14ac:dyDescent="0.25">
      <c r="A400" s="41" t="str">
        <f>IF(G400&lt;&gt;"",1+MAX($A$13:A399),"")</f>
        <v/>
      </c>
      <c r="D400" s="103" t="s">
        <v>40</v>
      </c>
      <c r="E400"/>
      <c r="I400" s="93"/>
      <c r="J400" s="94"/>
      <c r="K400" s="104"/>
      <c r="P400" s="92"/>
    </row>
    <row r="401" spans="1:16" x14ac:dyDescent="0.25">
      <c r="A401" s="41">
        <f>IF(G401&lt;&gt;"",1+MAX($A$13:A400),"")</f>
        <v>257</v>
      </c>
      <c r="C401" s="89" t="s">
        <v>39</v>
      </c>
      <c r="D401" s="96" t="s">
        <v>259</v>
      </c>
      <c r="E401" s="100">
        <f>123.97*1/27</f>
        <v>4.5914814814814813</v>
      </c>
      <c r="F401" s="91">
        <f>VLOOKUP(H401,'PROJECT SUMMARY'!$C$24:$D$31,2,0)</f>
        <v>0.05</v>
      </c>
      <c r="G401" s="95">
        <f t="shared" ref="G401" si="318">E401*(1+F401)</f>
        <v>4.8210555555555556</v>
      </c>
      <c r="H401" s="89" t="s">
        <v>15</v>
      </c>
      <c r="I401" s="93">
        <v>3.5</v>
      </c>
      <c r="J401" s="94">
        <f t="shared" ref="J401" si="319">I401*G401</f>
        <v>16.873694444444446</v>
      </c>
      <c r="K401" s="90">
        <v>55</v>
      </c>
      <c r="L401" s="90">
        <f>K401*J401</f>
        <v>928.05319444444456</v>
      </c>
      <c r="M401" s="90">
        <v>265</v>
      </c>
      <c r="N401" s="90">
        <f>M401*G401</f>
        <v>1277.5797222222222</v>
      </c>
      <c r="O401" s="90">
        <f t="shared" ref="O401" si="320">L401+N401</f>
        <v>2205.6329166666669</v>
      </c>
      <c r="P401" s="92"/>
    </row>
    <row r="402" spans="1:16" x14ac:dyDescent="0.25">
      <c r="A402" s="41" t="str">
        <f>IF(G402&lt;&gt;"",1+MAX($A$13:A401),"")</f>
        <v/>
      </c>
      <c r="D402" s="105"/>
      <c r="E402"/>
      <c r="I402" s="93"/>
      <c r="J402" s="94"/>
      <c r="K402" s="104"/>
      <c r="P402" s="92"/>
    </row>
    <row r="403" spans="1:16" x14ac:dyDescent="0.25">
      <c r="A403" s="41" t="str">
        <f>IF(G403&lt;&gt;"",1+MAX($A$13:A402),"")</f>
        <v/>
      </c>
      <c r="D403" s="103" t="s">
        <v>260</v>
      </c>
      <c r="E403"/>
      <c r="I403" s="93"/>
      <c r="J403" s="94"/>
      <c r="K403" s="104"/>
      <c r="P403" s="92"/>
    </row>
    <row r="404" spans="1:16" x14ac:dyDescent="0.25">
      <c r="A404" s="41">
        <f>IF(G404&lt;&gt;"",1+MAX($A$13:A403),"")</f>
        <v>258</v>
      </c>
      <c r="C404" s="89" t="s">
        <v>39</v>
      </c>
      <c r="D404" s="96" t="s">
        <v>261</v>
      </c>
      <c r="E404" s="100">
        <v>18019.650000000001</v>
      </c>
      <c r="F404" s="91">
        <f>VLOOKUP(H404,'PROJECT SUMMARY'!$C$24:$D$31,2,0)</f>
        <v>0.05</v>
      </c>
      <c r="G404" s="95">
        <f t="shared" ref="G404:G407" si="321">E404*(1+F404)</f>
        <v>18920.632500000003</v>
      </c>
      <c r="H404" s="89" t="s">
        <v>11</v>
      </c>
      <c r="I404" s="93">
        <v>2E-3</v>
      </c>
      <c r="J404" s="94">
        <f t="shared" ref="J404:J407" si="322">I404*G404</f>
        <v>37.841265000000007</v>
      </c>
      <c r="K404" s="90">
        <v>55</v>
      </c>
      <c r="L404" s="90">
        <f t="shared" ref="L404:L407" si="323">K404*J404</f>
        <v>2081.2695750000003</v>
      </c>
      <c r="M404" s="90">
        <v>0.08</v>
      </c>
      <c r="N404" s="90">
        <f t="shared" ref="N404:N407" si="324">M404*G404</f>
        <v>1513.6506000000004</v>
      </c>
      <c r="O404" s="90">
        <f t="shared" ref="O404:O407" si="325">L404+N404</f>
        <v>3594.9201750000007</v>
      </c>
      <c r="P404" s="92"/>
    </row>
    <row r="405" spans="1:16" x14ac:dyDescent="0.25">
      <c r="A405" s="41">
        <f>IF(G405&lt;&gt;"",1+MAX($A$13:A404),"")</f>
        <v>259</v>
      </c>
      <c r="C405" s="89" t="s">
        <v>39</v>
      </c>
      <c r="D405" s="96" t="s">
        <v>262</v>
      </c>
      <c r="E405" s="100">
        <v>236.41</v>
      </c>
      <c r="F405" s="91">
        <f>VLOOKUP(H405,'PROJECT SUMMARY'!$C$24:$D$31,2,0)</f>
        <v>0.05</v>
      </c>
      <c r="G405" s="95">
        <f t="shared" si="321"/>
        <v>248.23050000000001</v>
      </c>
      <c r="H405" s="89" t="s">
        <v>11</v>
      </c>
      <c r="I405" s="93">
        <v>5.0000000000000001E-3</v>
      </c>
      <c r="J405" s="94">
        <f t="shared" si="322"/>
        <v>1.2411525000000001</v>
      </c>
      <c r="K405" s="90">
        <v>55</v>
      </c>
      <c r="L405" s="90">
        <f t="shared" si="323"/>
        <v>68.263387500000007</v>
      </c>
      <c r="M405" s="90">
        <v>0.25</v>
      </c>
      <c r="N405" s="90">
        <f t="shared" si="324"/>
        <v>62.057625000000002</v>
      </c>
      <c r="O405" s="90">
        <f t="shared" si="325"/>
        <v>130.32101249999999</v>
      </c>
      <c r="P405" s="92"/>
    </row>
    <row r="406" spans="1:16" x14ac:dyDescent="0.25">
      <c r="A406" s="41">
        <f>IF(G406&lt;&gt;"",1+MAX($A$13:A405),"")</f>
        <v>260</v>
      </c>
      <c r="C406" s="89" t="s">
        <v>39</v>
      </c>
      <c r="D406" s="96" t="s">
        <v>263</v>
      </c>
      <c r="E406" s="100">
        <v>5</v>
      </c>
      <c r="F406" s="91">
        <f>VLOOKUP(H406,'PROJECT SUMMARY'!$C$24:$D$31,2,0)</f>
        <v>0</v>
      </c>
      <c r="G406" s="95">
        <f t="shared" si="321"/>
        <v>5</v>
      </c>
      <c r="H406" s="89" t="s">
        <v>9</v>
      </c>
      <c r="I406" s="93">
        <v>3.4</v>
      </c>
      <c r="J406" s="94">
        <f t="shared" si="322"/>
        <v>17</v>
      </c>
      <c r="K406" s="90">
        <v>55</v>
      </c>
      <c r="L406" s="90">
        <f t="shared" si="323"/>
        <v>935</v>
      </c>
      <c r="M406" s="90">
        <v>181</v>
      </c>
      <c r="N406" s="90">
        <f t="shared" si="324"/>
        <v>905</v>
      </c>
      <c r="O406" s="90">
        <f t="shared" si="325"/>
        <v>1840</v>
      </c>
      <c r="P406" s="92"/>
    </row>
    <row r="407" spans="1:16" x14ac:dyDescent="0.25">
      <c r="A407" s="41">
        <f>IF(G407&lt;&gt;"",1+MAX($A$13:A406),"")</f>
        <v>261</v>
      </c>
      <c r="C407" s="89" t="s">
        <v>39</v>
      </c>
      <c r="D407" s="96" t="s">
        <v>264</v>
      </c>
      <c r="E407" s="100">
        <v>49</v>
      </c>
      <c r="F407" s="91">
        <f>VLOOKUP(H407,'PROJECT SUMMARY'!$C$24:$D$31,2,0)</f>
        <v>0</v>
      </c>
      <c r="G407" s="95">
        <f t="shared" si="321"/>
        <v>49</v>
      </c>
      <c r="H407" s="89" t="s">
        <v>9</v>
      </c>
      <c r="I407" s="93">
        <v>0.65</v>
      </c>
      <c r="J407" s="94">
        <f t="shared" si="322"/>
        <v>31.85</v>
      </c>
      <c r="K407" s="90">
        <v>55</v>
      </c>
      <c r="L407" s="90">
        <f t="shared" si="323"/>
        <v>1751.75</v>
      </c>
      <c r="M407" s="90">
        <v>36.909999999999997</v>
      </c>
      <c r="N407" s="90">
        <f t="shared" si="324"/>
        <v>1808.59</v>
      </c>
      <c r="O407" s="90">
        <f t="shared" si="325"/>
        <v>3560.34</v>
      </c>
      <c r="P407" s="92"/>
    </row>
    <row r="408" spans="1:16" x14ac:dyDescent="0.25">
      <c r="A408" s="41" t="str">
        <f>IF(G408&lt;&gt;"",1+MAX($A$13:A407),"")</f>
        <v/>
      </c>
      <c r="D408" s="105"/>
      <c r="E408"/>
      <c r="I408" s="93"/>
      <c r="J408" s="94"/>
      <c r="K408" s="104"/>
      <c r="P408" s="92"/>
    </row>
    <row r="409" spans="1:16" x14ac:dyDescent="0.25">
      <c r="A409" s="41" t="str">
        <f>IF(G409&lt;&gt;"",1+MAX($A$13:A408),"")</f>
        <v/>
      </c>
      <c r="D409" s="103" t="s">
        <v>265</v>
      </c>
      <c r="E409"/>
      <c r="I409" s="93"/>
      <c r="J409" s="94"/>
      <c r="K409" s="104"/>
      <c r="P409" s="92"/>
    </row>
    <row r="410" spans="1:16" x14ac:dyDescent="0.25">
      <c r="A410" s="41">
        <f>IF(G410&lt;&gt;"",1+MAX($A$13:A409),"")</f>
        <v>262</v>
      </c>
      <c r="C410" s="89" t="s">
        <v>39</v>
      </c>
      <c r="D410" s="96" t="s">
        <v>266</v>
      </c>
      <c r="E410" s="100">
        <f>63.29*4</f>
        <v>253.16</v>
      </c>
      <c r="F410" s="91">
        <f>VLOOKUP(H410,'PROJECT SUMMARY'!$C$24:$D$31,2,0)</f>
        <v>0.05</v>
      </c>
      <c r="G410" s="95">
        <f t="shared" ref="G410:G411" si="326">E410*(1+F410)</f>
        <v>265.81799999999998</v>
      </c>
      <c r="H410" s="89" t="s">
        <v>11</v>
      </c>
      <c r="I410" s="93">
        <v>0.2</v>
      </c>
      <c r="J410" s="94">
        <f t="shared" ref="J410:J411" si="327">I410*G410</f>
        <v>53.163600000000002</v>
      </c>
      <c r="K410" s="90">
        <v>55</v>
      </c>
      <c r="L410" s="90">
        <f t="shared" ref="L410:L411" si="328">K410*J410</f>
        <v>2923.998</v>
      </c>
      <c r="M410" s="90">
        <v>9.1199999999999992</v>
      </c>
      <c r="N410" s="90">
        <f t="shared" ref="N410:N411" si="329">M410*G410</f>
        <v>2424.2601599999998</v>
      </c>
      <c r="O410" s="90">
        <f t="shared" ref="O410:O411" si="330">L410+N410</f>
        <v>5348.2581599999994</v>
      </c>
      <c r="P410" s="92"/>
    </row>
    <row r="411" spans="1:16" x14ac:dyDescent="0.25">
      <c r="A411" s="41">
        <f>IF(G411&lt;&gt;"",1+MAX($A$13:A410),"")</f>
        <v>263</v>
      </c>
      <c r="C411" s="89" t="s">
        <v>39</v>
      </c>
      <c r="D411" s="96" t="s">
        <v>267</v>
      </c>
      <c r="E411" s="100">
        <v>52.26</v>
      </c>
      <c r="F411" s="91">
        <f>VLOOKUP(H411,'PROJECT SUMMARY'!$C$24:$D$31,2,0)</f>
        <v>0.05</v>
      </c>
      <c r="G411" s="95">
        <f t="shared" si="326"/>
        <v>54.872999999999998</v>
      </c>
      <c r="H411" s="89" t="s">
        <v>10</v>
      </c>
      <c r="I411" s="93">
        <v>0.7</v>
      </c>
      <c r="J411" s="94">
        <f t="shared" si="327"/>
        <v>38.411099999999998</v>
      </c>
      <c r="K411" s="90">
        <v>55</v>
      </c>
      <c r="L411" s="90">
        <f t="shared" si="328"/>
        <v>2112.6104999999998</v>
      </c>
      <c r="M411" s="90">
        <v>150</v>
      </c>
      <c r="N411" s="90">
        <f t="shared" si="329"/>
        <v>8230.9499999999989</v>
      </c>
      <c r="O411" s="90">
        <f t="shared" si="330"/>
        <v>10343.5605</v>
      </c>
      <c r="P411" s="92"/>
    </row>
    <row r="412" spans="1:16" ht="16.5" thickBot="1" x14ac:dyDescent="0.3">
      <c r="A412" s="42"/>
      <c r="B412" s="43"/>
      <c r="C412" s="43"/>
      <c r="D412" s="43"/>
      <c r="E412" s="43"/>
      <c r="F412" s="45"/>
      <c r="P412" s="92"/>
    </row>
    <row r="413" spans="1:16" ht="16.5" thickBot="1" x14ac:dyDescent="0.3">
      <c r="G413" s="47"/>
      <c r="H413" s="48"/>
      <c r="I413" s="49" t="s">
        <v>38</v>
      </c>
      <c r="J413" s="83">
        <f>SUM(J14:J412)</f>
        <v>6378.2860516396622</v>
      </c>
      <c r="K413" s="50"/>
      <c r="L413" s="77">
        <f>SUM(L14:L412)</f>
        <v>372821.80085449124</v>
      </c>
      <c r="M413" s="78"/>
      <c r="N413" s="77">
        <f>SUM(N14:N412)</f>
        <v>444730.71757961309</v>
      </c>
      <c r="O413" s="77">
        <f>SUM(O14:O412)</f>
        <v>817552.51843410416</v>
      </c>
      <c r="P413" s="77">
        <f>SUM(P14:P412)</f>
        <v>817552.51843410451</v>
      </c>
    </row>
    <row r="414" spans="1:16" ht="16.5" thickBot="1" x14ac:dyDescent="0.3">
      <c r="G414" s="19">
        <v>9.5000000000000001E-2</v>
      </c>
      <c r="H414" s="1" t="s">
        <v>19</v>
      </c>
      <c r="I414" s="1"/>
      <c r="J414" s="1"/>
      <c r="L414" s="79"/>
      <c r="M414" s="79"/>
      <c r="N414" s="77">
        <f>N413*G414</f>
        <v>42249.418170063247</v>
      </c>
      <c r="O414" s="77">
        <f>N414</f>
        <v>42249.418170063247</v>
      </c>
      <c r="P414" s="80">
        <f>O414</f>
        <v>42249.418170063247</v>
      </c>
    </row>
    <row r="415" spans="1:16" ht="16.5" thickBot="1" x14ac:dyDescent="0.3">
      <c r="G415" s="51">
        <v>0.15</v>
      </c>
      <c r="H415" s="52" t="s">
        <v>20</v>
      </c>
      <c r="I415" s="52"/>
      <c r="J415" s="52"/>
      <c r="K415" s="50"/>
      <c r="L415" s="77">
        <f>L413*G415</f>
        <v>55923.270128173688</v>
      </c>
      <c r="M415" s="78"/>
      <c r="N415" s="77">
        <f>N413*G415</f>
        <v>66709.607636941961</v>
      </c>
      <c r="O415" s="77">
        <f>L415+N415</f>
        <v>122632.87776511564</v>
      </c>
      <c r="P415" s="77">
        <f>O415</f>
        <v>122632.87776511564</v>
      </c>
    </row>
    <row r="416" spans="1:16" ht="16.5" thickBot="1" x14ac:dyDescent="0.3">
      <c r="G416" s="42"/>
      <c r="H416" s="44" t="s">
        <v>34</v>
      </c>
      <c r="I416" s="44"/>
      <c r="J416" s="44"/>
      <c r="K416" s="46"/>
      <c r="L416" s="77">
        <f>SUM(L413:L415)</f>
        <v>428745.07098266494</v>
      </c>
      <c r="M416" s="81"/>
      <c r="N416" s="77">
        <f>SUM(N413:N415)</f>
        <v>553689.74338661833</v>
      </c>
      <c r="O416" s="77">
        <f>SUM(O413:O415)</f>
        <v>982434.81436928315</v>
      </c>
      <c r="P416" s="82">
        <f>SUM(P413:P415)</f>
        <v>982434.81436928338</v>
      </c>
    </row>
    <row r="421" spans="13:13" x14ac:dyDescent="0.25">
      <c r="M421" s="102"/>
    </row>
  </sheetData>
  <mergeCells count="5">
    <mergeCell ref="A2:P2"/>
    <mergeCell ref="A5:D5"/>
    <mergeCell ref="B7:C7"/>
    <mergeCell ref="B8:C8"/>
    <mergeCell ref="B9:C9"/>
  </mergeCells>
  <phoneticPr fontId="8" type="noConversion"/>
  <pageMargins left="0.7" right="0.7" top="0.75" bottom="0.75" header="0.3" footer="0.3"/>
  <pageSetup scale="33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9C97F98C-BBA6-43C5-BDFB-9DD40085443F}">
          <x14:formula1>
            <xm:f>'PROJECT SUMMARY'!$C$24:$C$31</xm:f>
          </x14:formula1>
          <xm:sqref>H14:H15 H17:H412</xm:sqref>
        </x14:dataValidation>
        <x14:dataValidation type="list" allowBlank="1" showInputMessage="1" showErrorMessage="1" xr:uid="{CE7EAAE4-4549-4A89-9B9C-0F9F075E2C8B}">
          <x14:formula1>
            <xm:f>'E:\Subfolder\Waqar Liaquat\October\project 04 15k (GC of main building) Per Hour\[sample.xlsx]PROJECT SUMMARY'!#REF!</xm:f>
          </x14:formula1>
          <xm:sqref>H16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AB8F6A-0AD4-415A-9FD3-3C8711F903C2}">
  <dimension ref="A1:P246"/>
  <sheetViews>
    <sheetView zoomScale="77" zoomScaleNormal="77" workbookViewId="0">
      <pane ySplit="1" topLeftCell="A194" activePane="bottomLeft" state="frozen"/>
      <selection pane="bottomLeft" activeCell="D17" sqref="D17"/>
    </sheetView>
  </sheetViews>
  <sheetFormatPr defaultColWidth="9.140625" defaultRowHeight="15.75" x14ac:dyDescent="0.25"/>
  <cols>
    <col min="1" max="1" width="9.140625" style="89"/>
    <col min="2" max="2" width="17.85546875" style="89" customWidth="1"/>
    <col min="3" max="3" width="12.28515625" style="89" bestFit="1" customWidth="1"/>
    <col min="4" max="4" width="100.7109375" style="88" bestFit="1" customWidth="1"/>
    <col min="5" max="5" width="12.85546875" style="95" customWidth="1"/>
    <col min="6" max="6" width="14.42578125" style="91" customWidth="1"/>
    <col min="7" max="7" width="20.42578125" style="95" customWidth="1"/>
    <col min="8" max="8" width="16.42578125" style="89" customWidth="1"/>
    <col min="9" max="9" width="13.28515625" style="88" customWidth="1"/>
    <col min="10" max="10" width="16.85546875" style="88" customWidth="1"/>
    <col min="11" max="11" width="16.5703125" style="90" customWidth="1"/>
    <col min="12" max="12" width="20.7109375" style="90" customWidth="1"/>
    <col min="13" max="13" width="14.28515625" style="90" customWidth="1"/>
    <col min="14" max="14" width="17.42578125" style="90" customWidth="1"/>
    <col min="15" max="15" width="17.140625" style="90" customWidth="1"/>
    <col min="16" max="16" width="19.42578125" style="90" bestFit="1" customWidth="1"/>
    <col min="17" max="16384" width="9.140625" style="88"/>
  </cols>
  <sheetData>
    <row r="1" spans="1:16" s="10" customFormat="1" ht="49.5" customHeight="1" thickBot="1" x14ac:dyDescent="0.3">
      <c r="A1" s="11" t="s">
        <v>21</v>
      </c>
      <c r="B1" s="12" t="s">
        <v>22</v>
      </c>
      <c r="C1" s="12" t="s">
        <v>16</v>
      </c>
      <c r="D1" s="12" t="s">
        <v>17</v>
      </c>
      <c r="E1" s="28" t="s">
        <v>23</v>
      </c>
      <c r="F1" s="34" t="s">
        <v>24</v>
      </c>
      <c r="G1" s="28" t="s">
        <v>25</v>
      </c>
      <c r="H1" s="12" t="s">
        <v>7</v>
      </c>
      <c r="I1" s="12" t="s">
        <v>26</v>
      </c>
      <c r="J1" s="12" t="s">
        <v>27</v>
      </c>
      <c r="K1" s="25" t="s">
        <v>28</v>
      </c>
      <c r="L1" s="25" t="s">
        <v>29</v>
      </c>
      <c r="M1" s="25" t="s">
        <v>30</v>
      </c>
      <c r="N1" s="25" t="s">
        <v>31</v>
      </c>
      <c r="O1" s="25" t="s">
        <v>4</v>
      </c>
      <c r="P1" s="26" t="s">
        <v>32</v>
      </c>
    </row>
    <row r="2" spans="1:16" ht="16.5" thickBot="1" x14ac:dyDescent="0.3">
      <c r="A2" s="123" t="s">
        <v>33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5"/>
    </row>
    <row r="4" spans="1:16" ht="16.5" thickBot="1" x14ac:dyDescent="0.3"/>
    <row r="5" spans="1:16" ht="19.5" thickBot="1" x14ac:dyDescent="0.3">
      <c r="A5" s="126" t="str">
        <f>H6</f>
        <v>Brotherston Residence</v>
      </c>
      <c r="B5" s="127"/>
      <c r="C5" s="127"/>
      <c r="D5" s="122"/>
      <c r="F5" s="35"/>
      <c r="G5" s="30" t="s">
        <v>1</v>
      </c>
      <c r="H5" s="54">
        <f ca="1">TODAY()</f>
        <v>45221</v>
      </c>
      <c r="I5" s="16"/>
      <c r="J5" s="16"/>
      <c r="K5" s="21"/>
    </row>
    <row r="6" spans="1:16" x14ac:dyDescent="0.25">
      <c r="A6" s="59"/>
      <c r="B6" s="60" t="s">
        <v>18</v>
      </c>
      <c r="C6" s="61"/>
      <c r="D6" s="84">
        <f>P238</f>
        <v>216711.96758801807</v>
      </c>
      <c r="F6" s="36"/>
      <c r="G6" s="31" t="s">
        <v>2</v>
      </c>
      <c r="H6" s="53" t="s">
        <v>278</v>
      </c>
      <c r="I6" s="15"/>
      <c r="J6" s="15"/>
      <c r="K6" s="22"/>
    </row>
    <row r="7" spans="1:16" x14ac:dyDescent="0.25">
      <c r="A7" s="62">
        <f>G239</f>
        <v>9.5000000000000001E-2</v>
      </c>
      <c r="B7" s="128" t="str">
        <f>H239</f>
        <v>Material Tax=</v>
      </c>
      <c r="C7" s="128"/>
      <c r="D7" s="85">
        <f>P239</f>
        <v>12430.383774429756</v>
      </c>
      <c r="F7" s="36"/>
      <c r="G7" s="31" t="s">
        <v>3</v>
      </c>
      <c r="H7" s="53" t="s">
        <v>279</v>
      </c>
      <c r="I7" s="15"/>
      <c r="J7" s="15"/>
      <c r="K7" s="22"/>
    </row>
    <row r="8" spans="1:16" x14ac:dyDescent="0.25">
      <c r="A8" s="62">
        <f>G240</f>
        <v>0.15</v>
      </c>
      <c r="B8" s="128" t="str">
        <f>H240</f>
        <v>Overhead and Profit=</v>
      </c>
      <c r="C8" s="128"/>
      <c r="D8" s="86">
        <f>P240</f>
        <v>32506.795138202709</v>
      </c>
      <c r="F8" s="36"/>
      <c r="G8" s="32"/>
      <c r="H8" s="39"/>
      <c r="I8" s="17"/>
      <c r="J8" s="17"/>
      <c r="K8" s="23"/>
    </row>
    <row r="9" spans="1:16" ht="16.5" thickBot="1" x14ac:dyDescent="0.3">
      <c r="A9" s="76"/>
      <c r="B9" s="129" t="str">
        <f>H241</f>
        <v>Total Bid=</v>
      </c>
      <c r="C9" s="129"/>
      <c r="D9" s="87">
        <f>P241</f>
        <v>261649.14650065056</v>
      </c>
      <c r="F9" s="36"/>
      <c r="G9" s="32" t="s">
        <v>281</v>
      </c>
      <c r="H9" s="39">
        <v>570</v>
      </c>
      <c r="I9" s="17"/>
      <c r="J9" s="17"/>
      <c r="K9" s="23"/>
    </row>
    <row r="10" spans="1:16" x14ac:dyDescent="0.25">
      <c r="F10" s="36"/>
      <c r="G10" s="32" t="s">
        <v>280</v>
      </c>
      <c r="H10" s="39"/>
      <c r="I10" s="17"/>
      <c r="J10" s="17"/>
      <c r="K10" s="23"/>
    </row>
    <row r="11" spans="1:16" ht="16.5" thickBot="1" x14ac:dyDescent="0.3">
      <c r="F11" s="37"/>
      <c r="G11" s="33" t="s">
        <v>35</v>
      </c>
      <c r="H11" s="40">
        <v>2</v>
      </c>
      <c r="I11" s="18"/>
      <c r="J11" s="18"/>
      <c r="K11" s="24"/>
    </row>
    <row r="12" spans="1:16" ht="16.5" thickBot="1" x14ac:dyDescent="0.3"/>
    <row r="13" spans="1:16" s="10" customFormat="1" ht="49.5" customHeight="1" thickBot="1" x14ac:dyDescent="0.3">
      <c r="A13" s="13" t="s">
        <v>21</v>
      </c>
      <c r="B13" s="14" t="s">
        <v>22</v>
      </c>
      <c r="C13" s="14" t="s">
        <v>16</v>
      </c>
      <c r="D13" s="14" t="s">
        <v>17</v>
      </c>
      <c r="E13" s="29" t="s">
        <v>23</v>
      </c>
      <c r="F13" s="38" t="s">
        <v>24</v>
      </c>
      <c r="G13" s="29" t="s">
        <v>25</v>
      </c>
      <c r="H13" s="14" t="s">
        <v>7</v>
      </c>
      <c r="I13" s="14" t="s">
        <v>26</v>
      </c>
      <c r="J13" s="14" t="s">
        <v>27</v>
      </c>
      <c r="K13" s="20" t="s">
        <v>28</v>
      </c>
      <c r="L13" s="20" t="s">
        <v>36</v>
      </c>
      <c r="M13" s="20" t="s">
        <v>30</v>
      </c>
      <c r="N13" s="20" t="s">
        <v>31</v>
      </c>
      <c r="O13" s="20" t="s">
        <v>37</v>
      </c>
      <c r="P13" s="27" t="s">
        <v>32</v>
      </c>
    </row>
    <row r="14" spans="1:16" ht="16.5" thickBot="1" x14ac:dyDescent="0.3">
      <c r="A14" s="73" t="str">
        <f>IF(G14&lt;&gt;"",1+MAX($A$13:A13),"")</f>
        <v/>
      </c>
      <c r="B14" s="69"/>
      <c r="C14" s="69" t="s">
        <v>276</v>
      </c>
      <c r="D14" s="67" t="s">
        <v>277</v>
      </c>
      <c r="E14" s="71"/>
      <c r="F14" s="72"/>
      <c r="G14" s="71"/>
      <c r="H14" s="71"/>
      <c r="I14" s="67"/>
      <c r="J14" s="67"/>
      <c r="K14" s="68"/>
      <c r="L14" s="68"/>
      <c r="M14" s="68"/>
      <c r="N14" s="68"/>
      <c r="O14" s="70"/>
      <c r="P14" s="74">
        <f>SUM(O15:O38)</f>
        <v>23382.03938514306</v>
      </c>
    </row>
    <row r="15" spans="1:16" x14ac:dyDescent="0.25">
      <c r="A15" s="41"/>
      <c r="D15" s="97"/>
      <c r="E15" s="99"/>
      <c r="G15" s="98"/>
      <c r="I15" s="93"/>
      <c r="J15" s="94"/>
      <c r="P15" s="92"/>
    </row>
    <row r="16" spans="1:16" x14ac:dyDescent="0.25">
      <c r="A16" s="41" t="str">
        <f>IF(G16&lt;&gt;"",1+MAX($A$13:A15),"")</f>
        <v/>
      </c>
      <c r="D16" s="103" t="s">
        <v>44</v>
      </c>
      <c r="E16"/>
      <c r="I16" s="93"/>
      <c r="J16" s="94"/>
      <c r="K16" s="104"/>
      <c r="P16" s="92"/>
    </row>
    <row r="17" spans="1:16" x14ac:dyDescent="0.25">
      <c r="A17" s="41">
        <f>IF(G17&lt;&gt;"",1+MAX($A$13:A16),"")</f>
        <v>1</v>
      </c>
      <c r="C17" s="89" t="s">
        <v>276</v>
      </c>
      <c r="D17" s="96" t="s">
        <v>294</v>
      </c>
      <c r="E17" s="100">
        <f>1439.12*0.33/27</f>
        <v>17.589244444444446</v>
      </c>
      <c r="F17" s="91">
        <f>VLOOKUP(H17,'PROJECT SUMMARY'!$C$24:$D$31,2,0)</f>
        <v>0.05</v>
      </c>
      <c r="G17" s="95">
        <f t="shared" ref="G17:G19" si="0">E17*(1+F17)</f>
        <v>18.468706666666669</v>
      </c>
      <c r="H17" s="89" t="s">
        <v>15</v>
      </c>
      <c r="I17" s="93">
        <v>2.9</v>
      </c>
      <c r="J17" s="94">
        <f t="shared" ref="J17" si="1">I17*G17</f>
        <v>53.559249333333341</v>
      </c>
      <c r="K17" s="113">
        <v>55</v>
      </c>
      <c r="L17" s="90">
        <f t="shared" ref="L17" si="2">K17*J17</f>
        <v>2945.7587133333336</v>
      </c>
      <c r="M17" s="90">
        <v>220</v>
      </c>
      <c r="N17" s="90">
        <f t="shared" ref="N17" si="3">M17*G17</f>
        <v>4063.1154666666671</v>
      </c>
      <c r="O17" s="90">
        <f t="shared" ref="O17:O19" si="4">L17+N17</f>
        <v>7008.8741800000007</v>
      </c>
      <c r="P17" s="92"/>
    </row>
    <row r="18" spans="1:16" x14ac:dyDescent="0.25">
      <c r="A18" s="41">
        <f>IF(G18&lt;&gt;"",1+MAX($A$13:A17),"")</f>
        <v>2</v>
      </c>
      <c r="C18" s="89" t="s">
        <v>276</v>
      </c>
      <c r="D18" s="96" t="s">
        <v>46</v>
      </c>
      <c r="E18" s="100">
        <f>1439.12*0.5/27</f>
        <v>26.650370370370368</v>
      </c>
      <c r="F18" s="91">
        <f>VLOOKUP(H18,'PROJECT SUMMARY'!$C$24:$D$31,2,0)</f>
        <v>0.05</v>
      </c>
      <c r="G18" s="95">
        <f t="shared" si="0"/>
        <v>27.982888888888887</v>
      </c>
      <c r="H18" s="89" t="s">
        <v>15</v>
      </c>
      <c r="I18" s="93">
        <v>0.55000000000000004</v>
      </c>
      <c r="J18" s="94">
        <f t="shared" ref="J18:J19" si="5">I18*G18</f>
        <v>15.390588888888889</v>
      </c>
      <c r="K18" s="114">
        <v>55</v>
      </c>
      <c r="L18" s="90">
        <f t="shared" ref="L18:L19" si="6">K18*J18</f>
        <v>846.48238888888886</v>
      </c>
      <c r="M18" s="90">
        <v>42.1</v>
      </c>
      <c r="N18" s="90">
        <f t="shared" ref="N18:N19" si="7">M18*G18</f>
        <v>1178.0796222222223</v>
      </c>
      <c r="O18" s="90">
        <f t="shared" si="4"/>
        <v>2024.5620111111111</v>
      </c>
      <c r="P18" s="92"/>
    </row>
    <row r="19" spans="1:16" x14ac:dyDescent="0.25">
      <c r="A19" s="41">
        <f>IF(G19&lt;&gt;"",1+MAX($A$13:A18),"")</f>
        <v>3</v>
      </c>
      <c r="C19" s="89" t="s">
        <v>276</v>
      </c>
      <c r="D19" s="96" t="s">
        <v>47</v>
      </c>
      <c r="E19" s="100">
        <f>1439.12</f>
        <v>1439.12</v>
      </c>
      <c r="F19" s="91">
        <f>VLOOKUP(H19,'PROJECT SUMMARY'!$C$24:$D$31,2,0)</f>
        <v>0.05</v>
      </c>
      <c r="G19" s="95">
        <f t="shared" si="0"/>
        <v>1511.076</v>
      </c>
      <c r="H19" s="89" t="s">
        <v>11</v>
      </c>
      <c r="I19" s="93">
        <v>6.0000000000000001E-3</v>
      </c>
      <c r="J19" s="94">
        <f t="shared" si="5"/>
        <v>9.0664560000000005</v>
      </c>
      <c r="K19" s="114">
        <v>55</v>
      </c>
      <c r="L19" s="90">
        <f t="shared" si="6"/>
        <v>498.65508000000005</v>
      </c>
      <c r="M19" s="90">
        <v>0.38</v>
      </c>
      <c r="N19" s="90">
        <f t="shared" si="7"/>
        <v>574.20888000000002</v>
      </c>
      <c r="O19" s="90">
        <f t="shared" si="4"/>
        <v>1072.8639600000001</v>
      </c>
      <c r="P19" s="92"/>
    </row>
    <row r="20" spans="1:16" x14ac:dyDescent="0.25">
      <c r="A20" s="41" t="str">
        <f>IF(G20&lt;&gt;"",1+MAX($A$13:A19),"")</f>
        <v/>
      </c>
      <c r="D20" s="96"/>
      <c r="E20" s="100"/>
      <c r="I20" s="93"/>
      <c r="J20" s="94"/>
      <c r="K20" s="113"/>
      <c r="P20" s="92"/>
    </row>
    <row r="21" spans="1:16" x14ac:dyDescent="0.25">
      <c r="A21" s="41" t="str">
        <f>IF(G21&lt;&gt;"",1+MAX($A$13:A20),"")</f>
        <v/>
      </c>
      <c r="D21" s="103" t="s">
        <v>49</v>
      </c>
      <c r="E21"/>
      <c r="I21" s="93"/>
      <c r="J21" s="94"/>
      <c r="K21" s="113"/>
      <c r="P21" s="92"/>
    </row>
    <row r="22" spans="1:16" x14ac:dyDescent="0.25">
      <c r="A22" s="41">
        <f>IF(G22&lt;&gt;"",1+MAX($A$13:A21),"")</f>
        <v>4</v>
      </c>
      <c r="C22" s="89" t="s">
        <v>276</v>
      </c>
      <c r="D22" s="96" t="s">
        <v>295</v>
      </c>
      <c r="E22" s="100">
        <f>99.25*1.33*0.67/27</f>
        <v>3.2756175925925928</v>
      </c>
      <c r="F22" s="91">
        <f>VLOOKUP(H22,'PROJECT SUMMARY'!$C$24:$D$31,2,0)</f>
        <v>0.05</v>
      </c>
      <c r="G22" s="95">
        <f t="shared" ref="G22" si="8">E22*(1+F22)</f>
        <v>3.4393984722222224</v>
      </c>
      <c r="H22" s="89" t="s">
        <v>15</v>
      </c>
      <c r="I22" s="93">
        <v>3.3</v>
      </c>
      <c r="J22" s="94">
        <f t="shared" ref="J22" si="9">I22*G22</f>
        <v>11.350014958333333</v>
      </c>
      <c r="K22" s="113">
        <v>55</v>
      </c>
      <c r="L22" s="90">
        <f>K22*J22</f>
        <v>624.25082270833332</v>
      </c>
      <c r="M22" s="90">
        <v>256</v>
      </c>
      <c r="N22" s="90">
        <f>M22*G22</f>
        <v>880.48600888888893</v>
      </c>
      <c r="O22" s="90">
        <f t="shared" ref="O22" si="10">L22+N22</f>
        <v>1504.7368315972221</v>
      </c>
      <c r="P22" s="92"/>
    </row>
    <row r="23" spans="1:16" x14ac:dyDescent="0.25">
      <c r="A23" s="41" t="str">
        <f>IF(G23&lt;&gt;"",1+MAX($A$13:A22),"")</f>
        <v/>
      </c>
      <c r="B23" s="130"/>
      <c r="D23" s="96"/>
      <c r="E23" s="100"/>
      <c r="I23" s="93"/>
      <c r="J23" s="94"/>
      <c r="K23" s="113"/>
      <c r="P23" s="92"/>
    </row>
    <row r="24" spans="1:16" x14ac:dyDescent="0.25">
      <c r="A24" s="41" t="str">
        <f>IF(G24&lt;&gt;"",1+MAX($A$13:A23),"")</f>
        <v/>
      </c>
      <c r="D24" s="103" t="s">
        <v>51</v>
      </c>
      <c r="E24"/>
      <c r="I24" s="93"/>
      <c r="J24" s="94"/>
      <c r="K24" s="113"/>
      <c r="P24" s="92"/>
    </row>
    <row r="25" spans="1:16" x14ac:dyDescent="0.25">
      <c r="A25" s="41">
        <f>IF(G25&lt;&gt;"",1+MAX($A$13:A24),"")</f>
        <v>5</v>
      </c>
      <c r="C25" s="89" t="s">
        <v>276</v>
      </c>
      <c r="D25" s="96" t="s">
        <v>296</v>
      </c>
      <c r="E25" s="100">
        <f>26.3*0.67*1.583/27</f>
        <v>1.0331127037037038</v>
      </c>
      <c r="F25" s="91">
        <f>VLOOKUP(H25,'PROJECT SUMMARY'!$C$24:$D$31,2,0)</f>
        <v>0.05</v>
      </c>
      <c r="G25" s="95">
        <f t="shared" ref="G25:G27" si="11">E25*(1+F25)</f>
        <v>1.0847683388888891</v>
      </c>
      <c r="H25" s="89" t="s">
        <v>15</v>
      </c>
      <c r="I25" s="93">
        <v>3.3</v>
      </c>
      <c r="J25" s="94">
        <f t="shared" ref="J25:J26" si="12">I25*G25</f>
        <v>3.5797355183333339</v>
      </c>
      <c r="K25" s="113">
        <v>55</v>
      </c>
      <c r="L25" s="90">
        <f>K25*J25</f>
        <v>196.88545350833337</v>
      </c>
      <c r="M25" s="90">
        <v>256</v>
      </c>
      <c r="N25" s="90">
        <f t="shared" ref="N25:N27" si="13">M25*G25</f>
        <v>277.70069475555562</v>
      </c>
      <c r="O25" s="90">
        <f t="shared" ref="O25:O27" si="14">L25+N25</f>
        <v>474.58614826388896</v>
      </c>
      <c r="P25" s="92"/>
    </row>
    <row r="26" spans="1:16" x14ac:dyDescent="0.25">
      <c r="A26" s="41">
        <f>IF(G26&lt;&gt;"",1+MAX($A$13:A25),"")</f>
        <v>6</v>
      </c>
      <c r="C26" s="89" t="s">
        <v>276</v>
      </c>
      <c r="D26" s="96" t="s">
        <v>297</v>
      </c>
      <c r="E26" s="100">
        <f>46.64*0.67*0.83/27</f>
        <v>0.96061125925925928</v>
      </c>
      <c r="F26" s="91">
        <f>VLOOKUP(H26,'PROJECT SUMMARY'!$C$24:$D$31,2,0)</f>
        <v>0.05</v>
      </c>
      <c r="G26" s="95">
        <f t="shared" ref="G26" si="15">E26*(1+F26)</f>
        <v>1.0086418222222222</v>
      </c>
      <c r="H26" s="89" t="s">
        <v>15</v>
      </c>
      <c r="I26" s="93">
        <v>3.3</v>
      </c>
      <c r="J26" s="94">
        <f t="shared" si="12"/>
        <v>3.328518013333333</v>
      </c>
      <c r="K26" s="113">
        <v>55</v>
      </c>
      <c r="L26" s="90">
        <f>K26*J26</f>
        <v>183.06849073333331</v>
      </c>
      <c r="M26" s="90">
        <v>256</v>
      </c>
      <c r="N26" s="90">
        <f t="shared" ref="N26" si="16">M26*G26</f>
        <v>258.21230648888888</v>
      </c>
      <c r="O26" s="90">
        <f t="shared" ref="O26" si="17">L26+N26</f>
        <v>441.28079722222219</v>
      </c>
      <c r="P26" s="92"/>
    </row>
    <row r="27" spans="1:16" x14ac:dyDescent="0.25">
      <c r="A27" s="41">
        <f>IF(G27&lt;&gt;"",1+MAX($A$13:A26),"")</f>
        <v>7</v>
      </c>
      <c r="C27" s="89" t="s">
        <v>276</v>
      </c>
      <c r="D27" s="96" t="s">
        <v>53</v>
      </c>
      <c r="E27" s="100">
        <f>(26.3*1.583*2)+(46.64*0.83*2)</f>
        <v>160.68819999999999</v>
      </c>
      <c r="F27" s="91">
        <f>VLOOKUP(H27,'PROJECT SUMMARY'!$C$24:$D$31,2,0)</f>
        <v>0.05</v>
      </c>
      <c r="G27" s="95">
        <f t="shared" si="11"/>
        <v>168.72261</v>
      </c>
      <c r="H27" s="89" t="s">
        <v>11</v>
      </c>
      <c r="I27" s="93">
        <v>0.02</v>
      </c>
      <c r="J27" s="94">
        <f t="shared" ref="J27" si="18">I27*G27</f>
        <v>3.3744522000000003</v>
      </c>
      <c r="K27" s="114">
        <v>55</v>
      </c>
      <c r="L27" s="90">
        <f t="shared" ref="L27" si="19">K27*J27</f>
        <v>185.59487100000001</v>
      </c>
      <c r="M27" s="90">
        <v>1.8</v>
      </c>
      <c r="N27" s="90">
        <f t="shared" si="13"/>
        <v>303.70069799999999</v>
      </c>
      <c r="O27" s="90">
        <f t="shared" si="14"/>
        <v>489.295569</v>
      </c>
      <c r="P27" s="92"/>
    </row>
    <row r="28" spans="1:16" x14ac:dyDescent="0.25">
      <c r="A28" s="41">
        <f>IF(G28&lt;&gt;"",1+MAX($A$13:A27),"")</f>
        <v>8</v>
      </c>
      <c r="C28" s="89" t="s">
        <v>276</v>
      </c>
      <c r="D28" s="96" t="s">
        <v>298</v>
      </c>
      <c r="E28" s="100">
        <f>(26.3*1.583)+(46.64*0.83)</f>
        <v>80.344099999999997</v>
      </c>
      <c r="F28" s="91">
        <f>VLOOKUP(H28,'PROJECT SUMMARY'!$C$24:$D$31,2,0)</f>
        <v>0.05</v>
      </c>
      <c r="G28" s="95">
        <f t="shared" ref="G28" si="20">E28*(1+F28)</f>
        <v>84.361305000000002</v>
      </c>
      <c r="H28" s="89" t="s">
        <v>11</v>
      </c>
      <c r="I28" s="93">
        <v>0.02</v>
      </c>
      <c r="J28" s="94">
        <f t="shared" ref="J28" si="21">I28*G28</f>
        <v>1.6872261000000002</v>
      </c>
      <c r="K28" s="114">
        <v>55</v>
      </c>
      <c r="L28" s="90">
        <f t="shared" ref="L28" si="22">K28*J28</f>
        <v>92.797435500000006</v>
      </c>
      <c r="M28" s="90">
        <v>2.88</v>
      </c>
      <c r="N28" s="90">
        <f t="shared" ref="N28" si="23">M28*G28</f>
        <v>242.9605584</v>
      </c>
      <c r="O28" s="90">
        <f t="shared" ref="O28" si="24">L28+N28</f>
        <v>335.75799389999997</v>
      </c>
      <c r="P28" s="92"/>
    </row>
    <row r="29" spans="1:16" x14ac:dyDescent="0.25">
      <c r="A29" s="41" t="str">
        <f>IF(G29&lt;&gt;"",1+MAX($A$13:A28),"")</f>
        <v/>
      </c>
      <c r="D29" s="96"/>
      <c r="E29" s="100"/>
      <c r="I29" s="93"/>
      <c r="J29" s="94"/>
      <c r="K29" s="113"/>
      <c r="P29" s="92"/>
    </row>
    <row r="30" spans="1:16" x14ac:dyDescent="0.25">
      <c r="A30" s="41" t="str">
        <f>IF(G30&lt;&gt;"",1+MAX($A$13:A29),"")</f>
        <v/>
      </c>
      <c r="D30" s="103" t="s">
        <v>54</v>
      </c>
      <c r="E30"/>
      <c r="I30" s="93"/>
      <c r="J30" s="94"/>
      <c r="K30" s="113"/>
      <c r="P30" s="92"/>
    </row>
    <row r="31" spans="1:16" x14ac:dyDescent="0.25">
      <c r="A31" s="41">
        <f>IF(G31&lt;&gt;"",1+MAX($A$13:A30),"")</f>
        <v>9</v>
      </c>
      <c r="C31" s="89" t="s">
        <v>276</v>
      </c>
      <c r="D31" s="96" t="s">
        <v>299</v>
      </c>
      <c r="E31" s="112">
        <f>2*3.67*2.167*0.67/27</f>
        <v>0.3946989851851852</v>
      </c>
      <c r="F31" s="91">
        <f>VLOOKUP(H31,'PROJECT SUMMARY'!$C$24:$D$31,2,0)</f>
        <v>0.05</v>
      </c>
      <c r="G31" s="95">
        <f t="shared" ref="G31" si="25">E31*(1+F31)</f>
        <v>0.41443393444444449</v>
      </c>
      <c r="H31" s="89" t="s">
        <v>15</v>
      </c>
      <c r="I31" s="93">
        <v>3.3</v>
      </c>
      <c r="J31" s="94">
        <f t="shared" ref="J31" si="26">I31*G31</f>
        <v>1.3676319836666668</v>
      </c>
      <c r="K31" s="113">
        <v>55</v>
      </c>
      <c r="L31" s="90">
        <f>K31*J31</f>
        <v>75.219759101666682</v>
      </c>
      <c r="M31" s="90">
        <v>256</v>
      </c>
      <c r="N31" s="90">
        <f t="shared" ref="N31" si="27">M31*G31</f>
        <v>106.09508721777779</v>
      </c>
      <c r="O31" s="90">
        <f t="shared" ref="O31" si="28">L31+N31</f>
        <v>181.31484631944448</v>
      </c>
      <c r="P31" s="92"/>
    </row>
    <row r="32" spans="1:16" x14ac:dyDescent="0.25">
      <c r="A32" s="41" t="str">
        <f>IF(G32&lt;&gt;"",1+MAX($A$13:A31),"")</f>
        <v/>
      </c>
      <c r="D32" s="96"/>
      <c r="E32" s="100"/>
      <c r="I32" s="93"/>
      <c r="J32" s="94"/>
      <c r="K32" s="113"/>
      <c r="P32" s="92"/>
    </row>
    <row r="33" spans="1:16" x14ac:dyDescent="0.25">
      <c r="A33" s="41" t="str">
        <f>IF(G33&lt;&gt;"",1+MAX($A$13:A32),"")</f>
        <v/>
      </c>
      <c r="D33" s="103" t="s">
        <v>301</v>
      </c>
      <c r="E33"/>
      <c r="I33" s="93"/>
      <c r="J33" s="94"/>
      <c r="K33" s="113"/>
      <c r="P33" s="92"/>
    </row>
    <row r="34" spans="1:16" x14ac:dyDescent="0.25">
      <c r="A34" s="41">
        <f>IF(G34&lt;&gt;"",1+MAX($A$13:A33),"")</f>
        <v>10</v>
      </c>
      <c r="C34" s="89" t="s">
        <v>276</v>
      </c>
      <c r="D34" s="96" t="s">
        <v>302</v>
      </c>
      <c r="E34" s="100">
        <f>50.03*0.75*9.83/27</f>
        <v>13.660969444444445</v>
      </c>
      <c r="F34" s="91">
        <f>VLOOKUP(H34,'PROJECT SUMMARY'!$C$24:$D$31,2,0)</f>
        <v>0.05</v>
      </c>
      <c r="G34" s="95">
        <f t="shared" ref="G34" si="29">E34*(1+F34)</f>
        <v>14.344017916666669</v>
      </c>
      <c r="H34" s="89" t="s">
        <v>15</v>
      </c>
      <c r="I34" s="93">
        <v>3.3</v>
      </c>
      <c r="J34" s="94">
        <f t="shared" ref="J34" si="30">I34*G34</f>
        <v>47.335259125000007</v>
      </c>
      <c r="K34" s="113">
        <v>55</v>
      </c>
      <c r="L34" s="90">
        <f>K34*J34</f>
        <v>2603.4392518750005</v>
      </c>
      <c r="M34" s="90">
        <v>256</v>
      </c>
      <c r="N34" s="90">
        <f t="shared" ref="N34" si="31">M34*G34</f>
        <v>3672.0685866666672</v>
      </c>
      <c r="O34" s="90">
        <f t="shared" ref="O34" si="32">L34+N34</f>
        <v>6275.5078385416673</v>
      </c>
      <c r="P34" s="92"/>
    </row>
    <row r="35" spans="1:16" x14ac:dyDescent="0.25">
      <c r="A35" s="41">
        <f>IF(G35&lt;&gt;"",1+MAX($A$13:A34),"")</f>
        <v>11</v>
      </c>
      <c r="C35" s="89" t="s">
        <v>276</v>
      </c>
      <c r="D35" s="96" t="s">
        <v>53</v>
      </c>
      <c r="E35" s="100">
        <f>50.03*9.83*2</f>
        <v>983.58980000000008</v>
      </c>
      <c r="F35" s="91">
        <f>VLOOKUP(H35,'PROJECT SUMMARY'!$C$24:$D$31,2,0)</f>
        <v>0.05</v>
      </c>
      <c r="G35" s="95">
        <f t="shared" ref="G35" si="33">E35*(1+F35)</f>
        <v>1032.7692900000002</v>
      </c>
      <c r="H35" s="89" t="s">
        <v>15</v>
      </c>
      <c r="I35" s="93">
        <v>0.02</v>
      </c>
      <c r="J35" s="94">
        <f t="shared" ref="J35" si="34">I35*G35</f>
        <v>20.655385800000005</v>
      </c>
      <c r="K35" s="114">
        <v>55</v>
      </c>
      <c r="L35" s="90">
        <f t="shared" ref="L35" si="35">K35*J35</f>
        <v>1136.0462190000003</v>
      </c>
      <c r="M35" s="90">
        <v>1.8</v>
      </c>
      <c r="N35" s="90">
        <f t="shared" ref="N35" si="36">M35*G35</f>
        <v>1858.9847220000004</v>
      </c>
      <c r="O35" s="90">
        <f t="shared" ref="O35" si="37">L35+N35</f>
        <v>2995.0309410000009</v>
      </c>
      <c r="P35" s="92"/>
    </row>
    <row r="36" spans="1:16" x14ac:dyDescent="0.25">
      <c r="A36" s="41" t="str">
        <f>IF(G36&lt;&gt;"",1+MAX($A$13:A35),"")</f>
        <v/>
      </c>
      <c r="D36" s="105"/>
      <c r="E36"/>
      <c r="I36" s="93"/>
      <c r="J36" s="94"/>
      <c r="K36" s="113"/>
      <c r="P36" s="92"/>
    </row>
    <row r="37" spans="1:16" x14ac:dyDescent="0.25">
      <c r="A37" s="41" t="str">
        <f>IF(G37&lt;&gt;"",1+MAX($A$13:A36),"")</f>
        <v/>
      </c>
      <c r="D37" s="103" t="s">
        <v>40</v>
      </c>
      <c r="E37"/>
      <c r="I37" s="93"/>
      <c r="J37" s="94"/>
      <c r="K37" s="113"/>
      <c r="P37" s="92"/>
    </row>
    <row r="38" spans="1:16" x14ac:dyDescent="0.25">
      <c r="A38" s="41">
        <f>IF(G38&lt;&gt;"",1+MAX($A$13:A37),"")</f>
        <v>12</v>
      </c>
      <c r="C38" s="89" t="s">
        <v>276</v>
      </c>
      <c r="D38" s="96" t="s">
        <v>300</v>
      </c>
      <c r="E38" s="100">
        <f>(15.71*0.4167*3.5/27)+(1.59*6.03/27)</f>
        <v>1.2037018333333336</v>
      </c>
      <c r="F38" s="91">
        <f>VLOOKUP(H38,'PROJECT SUMMARY'!$C$24:$D$31,2,0)</f>
        <v>0.05</v>
      </c>
      <c r="G38" s="95">
        <f t="shared" ref="G38" si="38">E38*(1+F38)</f>
        <v>1.2638869250000002</v>
      </c>
      <c r="H38" s="89" t="s">
        <v>15</v>
      </c>
      <c r="I38" s="93">
        <v>3.5</v>
      </c>
      <c r="J38" s="94">
        <f t="shared" ref="J38" si="39">I38*G38</f>
        <v>4.4236042375000011</v>
      </c>
      <c r="K38" s="113">
        <v>55</v>
      </c>
      <c r="L38" s="90">
        <f>K38*J38</f>
        <v>243.29823306250006</v>
      </c>
      <c r="M38" s="90">
        <v>265</v>
      </c>
      <c r="N38" s="90">
        <f>M38*G38</f>
        <v>334.93003512500007</v>
      </c>
      <c r="O38" s="90">
        <f t="shared" ref="O38" si="40">L38+N38</f>
        <v>578.22826818750013</v>
      </c>
      <c r="P38" s="92"/>
    </row>
    <row r="39" spans="1:16" ht="16.5" thickBot="1" x14ac:dyDescent="0.3">
      <c r="A39" s="41" t="str">
        <f>IF(G39&lt;&gt;"",1+MAX($A$13:A38),"")</f>
        <v/>
      </c>
      <c r="D39" s="105"/>
      <c r="E39"/>
      <c r="I39" s="93"/>
      <c r="J39" s="94"/>
      <c r="K39" s="113"/>
      <c r="P39" s="92"/>
    </row>
    <row r="40" spans="1:16" ht="16.5" thickBot="1" x14ac:dyDescent="0.3">
      <c r="A40" s="73" t="str">
        <f>IF(G40&lt;&gt;"",1+MAX($A$13:A39),"")</f>
        <v/>
      </c>
      <c r="B40" s="69"/>
      <c r="C40" s="69" t="s">
        <v>354</v>
      </c>
      <c r="D40" s="67" t="s">
        <v>355</v>
      </c>
      <c r="E40" s="71"/>
      <c r="F40" s="72"/>
      <c r="G40" s="71"/>
      <c r="H40" s="71"/>
      <c r="I40" s="67"/>
      <c r="J40" s="67"/>
      <c r="K40" s="115"/>
      <c r="L40" s="68"/>
      <c r="M40" s="68"/>
      <c r="N40" s="68"/>
      <c r="O40" s="70"/>
      <c r="P40" s="74">
        <f>SUM(O41:O45)</f>
        <v>4815.4931999999999</v>
      </c>
    </row>
    <row r="41" spans="1:16" x14ac:dyDescent="0.25">
      <c r="A41" s="41" t="str">
        <f>IF(G41&lt;&gt;"",1+MAX($A$13:A40),"")</f>
        <v/>
      </c>
      <c r="D41"/>
      <c r="E41"/>
      <c r="I41" s="93"/>
      <c r="J41" s="94"/>
      <c r="K41" s="113"/>
      <c r="P41" s="92"/>
    </row>
    <row r="42" spans="1:16" x14ac:dyDescent="0.25">
      <c r="A42" s="41" t="str">
        <f>IF(G42&lt;&gt;"",1+MAX($A$13:A41),"")</f>
        <v/>
      </c>
      <c r="D42" s="103" t="s">
        <v>356</v>
      </c>
      <c r="E42"/>
      <c r="I42" s="93"/>
      <c r="J42" s="94"/>
      <c r="K42" s="113"/>
      <c r="P42" s="92"/>
    </row>
    <row r="43" spans="1:16" x14ac:dyDescent="0.25">
      <c r="A43" s="41">
        <f>IF(G43&lt;&gt;"",1+MAX($A$13:A42),"")</f>
        <v>13</v>
      </c>
      <c r="C43" s="89" t="s">
        <v>354</v>
      </c>
      <c r="D43" s="105" t="s">
        <v>357</v>
      </c>
      <c r="E43">
        <v>41.4</v>
      </c>
      <c r="F43" s="91">
        <f>VLOOKUP(H43,'PROJECT SUMMARY'!$C$24:$D$31,2,0)</f>
        <v>0.05</v>
      </c>
      <c r="G43" s="95">
        <f t="shared" ref="G43" si="41">E43*(1+F43)</f>
        <v>43.47</v>
      </c>
      <c r="H43" s="89" t="s">
        <v>10</v>
      </c>
      <c r="I43" s="93">
        <v>0.65</v>
      </c>
      <c r="J43" s="94">
        <f t="shared" ref="J43" si="42">I43*G43</f>
        <v>28.255500000000001</v>
      </c>
      <c r="K43" s="114">
        <v>55</v>
      </c>
      <c r="L43" s="90">
        <f>K43*J43</f>
        <v>1554.0525</v>
      </c>
      <c r="M43" s="90">
        <v>42.11</v>
      </c>
      <c r="N43" s="90">
        <f>M43*G43</f>
        <v>1830.5217</v>
      </c>
      <c r="O43" s="90">
        <f t="shared" ref="O43" si="43">L43+N43</f>
        <v>3384.5742</v>
      </c>
      <c r="P43" s="92"/>
    </row>
    <row r="44" spans="1:16" x14ac:dyDescent="0.25">
      <c r="A44" s="41">
        <f>IF(G44&lt;&gt;"",1+MAX($A$13:A43),"")</f>
        <v>14</v>
      </c>
      <c r="C44" s="89" t="s">
        <v>354</v>
      </c>
      <c r="D44" s="105" t="s">
        <v>358</v>
      </c>
      <c r="E44">
        <v>16.079999999999998</v>
      </c>
      <c r="F44" s="91">
        <f>VLOOKUP(H44,'PROJECT SUMMARY'!$C$24:$D$31,2,0)</f>
        <v>0.05</v>
      </c>
      <c r="G44" s="95">
        <f t="shared" ref="G44" si="44">E44*(1+F44)</f>
        <v>16.884</v>
      </c>
      <c r="H44" s="89" t="s">
        <v>10</v>
      </c>
      <c r="I44" s="93">
        <v>0.7</v>
      </c>
      <c r="J44" s="94">
        <f t="shared" ref="J44" si="45">I44*G44</f>
        <v>11.8188</v>
      </c>
      <c r="K44" s="114">
        <v>55</v>
      </c>
      <c r="L44" s="90">
        <f>K44*J44</f>
        <v>650.03399999999999</v>
      </c>
      <c r="M44" s="90">
        <v>46.25</v>
      </c>
      <c r="N44" s="90">
        <f>M44*G44</f>
        <v>780.88499999999999</v>
      </c>
      <c r="O44" s="90">
        <f t="shared" ref="O44" si="46">L44+N44</f>
        <v>1430.9189999999999</v>
      </c>
      <c r="P44" s="92"/>
    </row>
    <row r="45" spans="1:16" ht="16.5" thickBot="1" x14ac:dyDescent="0.3">
      <c r="A45" s="41" t="str">
        <f>IF(G45&lt;&gt;"",1+MAX($A$13:A44),"")</f>
        <v/>
      </c>
      <c r="D45" s="105"/>
      <c r="E45"/>
      <c r="I45" s="93"/>
      <c r="J45" s="94"/>
      <c r="K45" s="113"/>
      <c r="P45" s="92"/>
    </row>
    <row r="46" spans="1:16" ht="16.5" thickBot="1" x14ac:dyDescent="0.3">
      <c r="A46" s="73" t="str">
        <f>IF(G46&lt;&gt;"",1+MAX($A$13:A45),"")</f>
        <v/>
      </c>
      <c r="B46" s="69"/>
      <c r="C46" s="69" t="s">
        <v>268</v>
      </c>
      <c r="D46" s="67" t="s">
        <v>269</v>
      </c>
      <c r="E46" s="71"/>
      <c r="F46" s="72"/>
      <c r="G46" s="71"/>
      <c r="H46" s="71"/>
      <c r="I46" s="67"/>
      <c r="J46" s="67"/>
      <c r="K46" s="115"/>
      <c r="L46" s="68"/>
      <c r="M46" s="68"/>
      <c r="N46" s="68"/>
      <c r="O46" s="70"/>
      <c r="P46" s="74">
        <f>SUM(O47:O69)</f>
        <v>30104.900321644738</v>
      </c>
    </row>
    <row r="47" spans="1:16" x14ac:dyDescent="0.25">
      <c r="A47" s="41" t="str">
        <f>IF(G47&lt;&gt;"",1+MAX($A$13:A46),"")</f>
        <v/>
      </c>
      <c r="D47" s="105"/>
      <c r="E47"/>
      <c r="I47" s="93"/>
      <c r="J47" s="94"/>
      <c r="K47" s="113"/>
      <c r="P47" s="92"/>
    </row>
    <row r="48" spans="1:16" x14ac:dyDescent="0.25">
      <c r="A48" s="41" t="str">
        <f>IF(G48&lt;&gt;"",1+MAX($A$13:A47),"")</f>
        <v/>
      </c>
      <c r="D48" s="103" t="s">
        <v>65</v>
      </c>
      <c r="E48"/>
      <c r="I48" s="93"/>
      <c r="J48" s="94"/>
      <c r="K48" s="113"/>
      <c r="P48" s="92"/>
    </row>
    <row r="49" spans="1:16" x14ac:dyDescent="0.25">
      <c r="A49" s="41">
        <f>IF(G49&lt;&gt;"",1+MAX($A$13:A48),"")</f>
        <v>15</v>
      </c>
      <c r="C49" s="89" t="s">
        <v>268</v>
      </c>
      <c r="D49" s="96" t="s">
        <v>317</v>
      </c>
      <c r="E49" s="100">
        <f>648.58/1.33</f>
        <v>487.6541353383459</v>
      </c>
      <c r="F49" s="91">
        <f>VLOOKUP(H49,'PROJECT SUMMARY'!$C$24:$D$31,2,0)</f>
        <v>0.05</v>
      </c>
      <c r="G49" s="95">
        <f t="shared" ref="G49" si="47">E49*(1+F49)</f>
        <v>512.03684210526319</v>
      </c>
      <c r="H49" s="89" t="s">
        <v>10</v>
      </c>
      <c r="I49" s="93">
        <v>4.8000000000000001E-2</v>
      </c>
      <c r="J49" s="94">
        <f t="shared" ref="J49:J50" si="48">I49*G49</f>
        <v>24.577768421052635</v>
      </c>
      <c r="K49" s="113">
        <v>50</v>
      </c>
      <c r="L49" s="90">
        <f>K49*J49</f>
        <v>1228.8884210526317</v>
      </c>
      <c r="M49" s="90">
        <v>7.61</v>
      </c>
      <c r="N49" s="90">
        <f>M49*G49</f>
        <v>3896.6003684210532</v>
      </c>
      <c r="O49" s="90">
        <f t="shared" ref="O49" si="49">L49+N49</f>
        <v>5125.4887894736848</v>
      </c>
      <c r="P49" s="92"/>
    </row>
    <row r="50" spans="1:16" x14ac:dyDescent="0.25">
      <c r="A50" s="41">
        <f>IF(G50&lt;&gt;"",1+MAX($A$13:A49),"")</f>
        <v>16</v>
      </c>
      <c r="C50" s="89" t="s">
        <v>268</v>
      </c>
      <c r="D50" s="96" t="s">
        <v>318</v>
      </c>
      <c r="E50" s="100">
        <f>256.1/1.33</f>
        <v>192.55639097744361</v>
      </c>
      <c r="F50" s="91">
        <f>VLOOKUP(H50,'PROJECT SUMMARY'!$C$24:$D$31,2,0)</f>
        <v>0.05</v>
      </c>
      <c r="G50" s="95">
        <f t="shared" ref="G50" si="50">E50*(1+F50)</f>
        <v>202.18421052631581</v>
      </c>
      <c r="H50" s="89" t="s">
        <v>10</v>
      </c>
      <c r="I50" s="93">
        <v>4.8000000000000001E-2</v>
      </c>
      <c r="J50" s="94">
        <f t="shared" si="48"/>
        <v>9.7048421052631593</v>
      </c>
      <c r="K50" s="113">
        <v>50</v>
      </c>
      <c r="L50" s="90">
        <f>K50*J50</f>
        <v>485.24210526315795</v>
      </c>
      <c r="M50" s="90">
        <v>7.61</v>
      </c>
      <c r="N50" s="90">
        <f>M50*G50</f>
        <v>1538.6218421052633</v>
      </c>
      <c r="O50" s="90">
        <f t="shared" ref="O50" si="51">L50+N50</f>
        <v>2023.8639473684213</v>
      </c>
      <c r="P50" s="92"/>
    </row>
    <row r="51" spans="1:16" x14ac:dyDescent="0.25">
      <c r="A51" s="41" t="str">
        <f>IF(G51&lt;&gt;"",1+MAX($A$13:A50),"")</f>
        <v/>
      </c>
      <c r="D51" s="105"/>
      <c r="E51"/>
      <c r="I51" s="93"/>
      <c r="J51" s="94"/>
      <c r="K51" s="113"/>
      <c r="P51" s="92"/>
    </row>
    <row r="52" spans="1:16" x14ac:dyDescent="0.25">
      <c r="A52" s="41" t="str">
        <f>IF(G52&lt;&gt;"",1+MAX($A$13:A51),"")</f>
        <v/>
      </c>
      <c r="D52" s="103" t="s">
        <v>67</v>
      </c>
      <c r="E52"/>
      <c r="I52" s="93"/>
      <c r="J52" s="94"/>
      <c r="K52" s="113"/>
      <c r="P52" s="92"/>
    </row>
    <row r="53" spans="1:16" x14ac:dyDescent="0.25">
      <c r="A53" s="41">
        <f>IF(G53&lt;&gt;"",1+MAX($A$13:A52),"")</f>
        <v>17</v>
      </c>
      <c r="C53" s="89" t="s">
        <v>268</v>
      </c>
      <c r="D53" s="96" t="s">
        <v>325</v>
      </c>
      <c r="E53" s="100">
        <f>1453.63/1.33</f>
        <v>1092.9548872180451</v>
      </c>
      <c r="F53" s="91">
        <f>VLOOKUP(H53,'PROJECT SUMMARY'!$C$24:$D$31,2,0)</f>
        <v>0.05</v>
      </c>
      <c r="G53" s="95">
        <f t="shared" ref="G53" si="52">E53*(1+F53)</f>
        <v>1147.6026315789475</v>
      </c>
      <c r="H53" s="89" t="s">
        <v>10</v>
      </c>
      <c r="I53" s="93">
        <v>6.8000000000000005E-2</v>
      </c>
      <c r="J53" s="94">
        <f t="shared" ref="J53" si="53">I53*G53</f>
        <v>78.036978947368439</v>
      </c>
      <c r="K53" s="113">
        <v>50</v>
      </c>
      <c r="L53" s="90">
        <f>K53*J53</f>
        <v>3901.8489473684222</v>
      </c>
      <c r="M53" s="90">
        <v>9.11</v>
      </c>
      <c r="N53" s="90">
        <f>M53*G53</f>
        <v>10454.659973684211</v>
      </c>
      <c r="O53" s="90">
        <f t="shared" ref="O53" si="54">L53+N53</f>
        <v>14356.508921052633</v>
      </c>
      <c r="P53" s="92"/>
    </row>
    <row r="54" spans="1:16" x14ac:dyDescent="0.25">
      <c r="A54" s="41" t="str">
        <f>IF(G54&lt;&gt;"",1+MAX($A$13:A53),"")</f>
        <v/>
      </c>
      <c r="D54" s="105"/>
      <c r="E54"/>
      <c r="I54" s="93"/>
      <c r="J54" s="94"/>
      <c r="K54" s="113"/>
      <c r="P54" s="92"/>
    </row>
    <row r="55" spans="1:16" x14ac:dyDescent="0.25">
      <c r="A55" s="41" t="str">
        <f>IF(G55&lt;&gt;"",1+MAX($A$13:A54),"")</f>
        <v/>
      </c>
      <c r="D55" s="103" t="s">
        <v>69</v>
      </c>
      <c r="E55"/>
      <c r="I55" s="93"/>
      <c r="J55" s="94"/>
      <c r="K55" s="113"/>
      <c r="P55" s="92"/>
    </row>
    <row r="56" spans="1:16" x14ac:dyDescent="0.25">
      <c r="A56" s="41">
        <f>IF(G56&lt;&gt;"",1+MAX($A$13:A55),"")</f>
        <v>18</v>
      </c>
      <c r="C56" s="89" t="s">
        <v>268</v>
      </c>
      <c r="D56" s="96" t="s">
        <v>319</v>
      </c>
      <c r="E56" s="100">
        <f>648.58+256.1</f>
        <v>904.68000000000006</v>
      </c>
      <c r="F56" s="91">
        <f>VLOOKUP(H56,'PROJECT SUMMARY'!$C$24:$D$31,2,0)</f>
        <v>0.05</v>
      </c>
      <c r="G56" s="95">
        <f t="shared" ref="G56" si="55">E56*(1+F56)</f>
        <v>949.9140000000001</v>
      </c>
      <c r="H56" s="89" t="s">
        <v>11</v>
      </c>
      <c r="I56" s="93">
        <v>1.7999999999999999E-2</v>
      </c>
      <c r="J56" s="94">
        <f t="shared" ref="J56:J57" si="56">I56*G56</f>
        <v>17.098452000000002</v>
      </c>
      <c r="K56" s="113">
        <v>50</v>
      </c>
      <c r="L56" s="90">
        <f t="shared" ref="L56:L57" si="57">K56*J56</f>
        <v>854.9226000000001</v>
      </c>
      <c r="M56" s="90">
        <v>1.42</v>
      </c>
      <c r="N56" s="90">
        <f t="shared" ref="N56" si="58">M56*G56</f>
        <v>1348.87788</v>
      </c>
      <c r="O56" s="90">
        <f t="shared" ref="O56" si="59">L56+N56</f>
        <v>2203.8004799999999</v>
      </c>
      <c r="P56" s="92"/>
    </row>
    <row r="57" spans="1:16" x14ac:dyDescent="0.25">
      <c r="A57" s="41">
        <f>IF(G57&lt;&gt;"",1+MAX($A$13:A56),"")</f>
        <v>19</v>
      </c>
      <c r="C57" s="89" t="s">
        <v>268</v>
      </c>
      <c r="D57" s="96" t="s">
        <v>323</v>
      </c>
      <c r="E57" s="100">
        <v>1453.63</v>
      </c>
      <c r="F57" s="91">
        <f>VLOOKUP(H57,'PROJECT SUMMARY'!$C$24:$D$31,2,0)</f>
        <v>0.05</v>
      </c>
      <c r="G57" s="95">
        <f t="shared" ref="G57" si="60">E57*(1+F57)</f>
        <v>1526.3115000000003</v>
      </c>
      <c r="H57" s="89" t="s">
        <v>11</v>
      </c>
      <c r="I57" s="93">
        <v>1.7999999999999999E-2</v>
      </c>
      <c r="J57" s="94">
        <f t="shared" si="56"/>
        <v>27.473607000000001</v>
      </c>
      <c r="K57" s="113">
        <v>50</v>
      </c>
      <c r="L57" s="90">
        <f t="shared" si="57"/>
        <v>1373.6803500000001</v>
      </c>
      <c r="M57" s="90">
        <v>1.42</v>
      </c>
      <c r="N57" s="90">
        <f t="shared" ref="N57" si="61">M57*G57</f>
        <v>2167.3623300000004</v>
      </c>
      <c r="O57" s="90">
        <f t="shared" ref="O57" si="62">L57+N57</f>
        <v>3541.0426800000005</v>
      </c>
      <c r="P57" s="92"/>
    </row>
    <row r="58" spans="1:16" x14ac:dyDescent="0.25">
      <c r="A58" s="41" t="str">
        <f>IF(G58&lt;&gt;"",1+MAX($A$13:A57),"")</f>
        <v/>
      </c>
      <c r="D58" s="105"/>
      <c r="E58"/>
      <c r="I58" s="93"/>
      <c r="J58" s="94"/>
      <c r="K58" s="113"/>
      <c r="P58" s="92"/>
    </row>
    <row r="59" spans="1:16" x14ac:dyDescent="0.25">
      <c r="A59" s="41" t="str">
        <f>IF(G59&lt;&gt;"",1+MAX($A$13:A58),"")</f>
        <v/>
      </c>
      <c r="D59" s="103" t="s">
        <v>72</v>
      </c>
      <c r="E59"/>
      <c r="I59" s="93"/>
      <c r="J59" s="94"/>
      <c r="K59" s="113"/>
      <c r="P59" s="92"/>
    </row>
    <row r="60" spans="1:16" x14ac:dyDescent="0.25">
      <c r="A60" s="41">
        <f>IF(G60&lt;&gt;"",1+MAX($A$13:A59),"")</f>
        <v>20</v>
      </c>
      <c r="C60" s="89" t="s">
        <v>268</v>
      </c>
      <c r="D60" s="96" t="s">
        <v>73</v>
      </c>
      <c r="E60" s="100">
        <f>648.58+256.1+603.54</f>
        <v>1508.22</v>
      </c>
      <c r="F60" s="91">
        <f>VLOOKUP(H60,'PROJECT SUMMARY'!$C$24:$D$31,2,0)</f>
        <v>0.05</v>
      </c>
      <c r="G60" s="95">
        <f t="shared" ref="G60:G61" si="63">E60*(1+F60)</f>
        <v>1583.6310000000001</v>
      </c>
      <c r="H60" s="89" t="s">
        <v>11</v>
      </c>
      <c r="I60" s="93">
        <v>1.2999999999999999E-2</v>
      </c>
      <c r="J60" s="94">
        <f t="shared" ref="J60:J61" si="64">I60*G60</f>
        <v>20.587202999999999</v>
      </c>
      <c r="K60" s="114">
        <v>50</v>
      </c>
      <c r="L60" s="90">
        <f t="shared" ref="L60:L61" si="65">K60*J60</f>
        <v>1029.36015</v>
      </c>
      <c r="M60" s="90">
        <v>0.44</v>
      </c>
      <c r="N60" s="90">
        <f t="shared" ref="N60:N61" si="66">M60*G60</f>
        <v>696.79764</v>
      </c>
      <c r="O60" s="90">
        <f t="shared" ref="O60:O61" si="67">L60+N60</f>
        <v>1726.15779</v>
      </c>
      <c r="P60" s="92"/>
    </row>
    <row r="61" spans="1:16" x14ac:dyDescent="0.25">
      <c r="A61" s="41">
        <f>IF(G61&lt;&gt;"",1+MAX($A$13:A60),"")</f>
        <v>21</v>
      </c>
      <c r="C61" s="89" t="s">
        <v>268</v>
      </c>
      <c r="D61" s="96" t="s">
        <v>324</v>
      </c>
      <c r="E61" s="100">
        <f>14.61*3.5</f>
        <v>51.134999999999998</v>
      </c>
      <c r="F61" s="91">
        <f>VLOOKUP(H61,'PROJECT SUMMARY'!$C$24:$D$31,2,0)</f>
        <v>0.05</v>
      </c>
      <c r="G61" s="95">
        <f t="shared" si="63"/>
        <v>53.691749999999999</v>
      </c>
      <c r="H61" s="89" t="s">
        <v>11</v>
      </c>
      <c r="I61" s="93">
        <v>1.2999999999999999E-2</v>
      </c>
      <c r="J61" s="94">
        <f t="shared" si="64"/>
        <v>0.69799274999999994</v>
      </c>
      <c r="K61" s="113">
        <v>50</v>
      </c>
      <c r="L61" s="90">
        <f t="shared" si="65"/>
        <v>34.899637499999997</v>
      </c>
      <c r="M61" s="90">
        <v>0.44</v>
      </c>
      <c r="N61" s="90">
        <f t="shared" si="66"/>
        <v>23.624369999999999</v>
      </c>
      <c r="O61" s="90">
        <f t="shared" si="67"/>
        <v>58.524007499999996</v>
      </c>
      <c r="P61" s="92"/>
    </row>
    <row r="62" spans="1:16" x14ac:dyDescent="0.25">
      <c r="A62" s="41" t="str">
        <f>IF(G62&lt;&gt;"",1+MAX($A$13:A61),"")</f>
        <v/>
      </c>
      <c r="D62" s="105"/>
      <c r="E62" s="100"/>
      <c r="I62" s="93"/>
      <c r="J62" s="94"/>
      <c r="K62" s="113"/>
      <c r="P62" s="92"/>
    </row>
    <row r="63" spans="1:16" x14ac:dyDescent="0.25">
      <c r="A63" s="41">
        <f>IF(G63&lt;&gt;"",1+MAX($A$13:A62),"")</f>
        <v>22</v>
      </c>
      <c r="C63" s="89" t="s">
        <v>268</v>
      </c>
      <c r="D63" s="106" t="s">
        <v>76</v>
      </c>
      <c r="E63" s="100">
        <f>1559/32*24</f>
        <v>1169.25</v>
      </c>
      <c r="F63" s="91">
        <f>VLOOKUP(H63,'PROJECT SUMMARY'!$C$24:$D$31,2,0)</f>
        <v>0.05</v>
      </c>
      <c r="G63" s="95">
        <f t="shared" ref="G63:G65" si="68">E63*(1+F63)</f>
        <v>1227.7125000000001</v>
      </c>
      <c r="H63" s="89" t="s">
        <v>10</v>
      </c>
      <c r="I63" s="93">
        <v>8.0000000000000002E-3</v>
      </c>
      <c r="J63" s="94">
        <f t="shared" ref="J63:J65" si="69">I63*G63</f>
        <v>9.8217000000000017</v>
      </c>
      <c r="K63" s="114">
        <v>50</v>
      </c>
      <c r="L63" s="90">
        <f t="shared" ref="L63:L65" si="70">K63*J63</f>
        <v>491.08500000000009</v>
      </c>
      <c r="M63" s="90">
        <v>0.02</v>
      </c>
      <c r="N63" s="90">
        <f t="shared" ref="N63:N65" si="71">M63*G63</f>
        <v>24.554250000000003</v>
      </c>
      <c r="O63" s="90">
        <f t="shared" ref="O63:O65" si="72">L63+N63</f>
        <v>515.63925000000006</v>
      </c>
      <c r="P63" s="92"/>
    </row>
    <row r="64" spans="1:16" x14ac:dyDescent="0.25">
      <c r="A64" s="41">
        <f>IF(G64&lt;&gt;"",1+MAX($A$13:A63),"")</f>
        <v>23</v>
      </c>
      <c r="C64" s="89" t="s">
        <v>268</v>
      </c>
      <c r="D64" s="106" t="s">
        <v>77</v>
      </c>
      <c r="E64" s="100">
        <f>1559*0.053</f>
        <v>82.626999999999995</v>
      </c>
      <c r="F64" s="91">
        <f>VLOOKUP(H64,'PROJECT SUMMARY'!$C$24:$D$31,2,0)</f>
        <v>0.05</v>
      </c>
      <c r="G64" s="95">
        <f t="shared" si="68"/>
        <v>86.758349999999993</v>
      </c>
      <c r="H64" s="89" t="s">
        <v>78</v>
      </c>
      <c r="I64" s="93">
        <v>0.05</v>
      </c>
      <c r="J64" s="94">
        <f t="shared" si="69"/>
        <v>4.3379174999999996</v>
      </c>
      <c r="K64" s="114">
        <v>50</v>
      </c>
      <c r="L64" s="90">
        <f t="shared" si="70"/>
        <v>216.89587499999999</v>
      </c>
      <c r="M64" s="90">
        <v>0.5</v>
      </c>
      <c r="N64" s="90">
        <f t="shared" si="71"/>
        <v>43.379174999999996</v>
      </c>
      <c r="O64" s="90">
        <f t="shared" si="72"/>
        <v>260.27504999999996</v>
      </c>
      <c r="P64" s="92"/>
    </row>
    <row r="65" spans="1:16" x14ac:dyDescent="0.25">
      <c r="A65" s="41">
        <f>IF(G65&lt;&gt;"",1+MAX($A$13:A64),"")</f>
        <v>24</v>
      </c>
      <c r="C65" s="89" t="s">
        <v>268</v>
      </c>
      <c r="D65" s="106" t="s">
        <v>79</v>
      </c>
      <c r="E65" s="100">
        <f>1559*45/32</f>
        <v>2192.34375</v>
      </c>
      <c r="F65" s="91">
        <f>VLOOKUP(H65,'PROJECT SUMMARY'!$C$24:$D$31,2,0)</f>
        <v>0</v>
      </c>
      <c r="G65" s="95">
        <f t="shared" si="68"/>
        <v>2192.34375</v>
      </c>
      <c r="H65" s="89" t="s">
        <v>9</v>
      </c>
      <c r="I65" s="93">
        <v>2E-3</v>
      </c>
      <c r="J65" s="94">
        <f t="shared" si="69"/>
        <v>4.3846875000000001</v>
      </c>
      <c r="K65" s="114">
        <v>50</v>
      </c>
      <c r="L65" s="90">
        <f t="shared" si="70"/>
        <v>219.234375</v>
      </c>
      <c r="M65" s="90">
        <v>3.0000000000000001E-3</v>
      </c>
      <c r="N65" s="90">
        <f t="shared" si="71"/>
        <v>6.5770312500000001</v>
      </c>
      <c r="O65" s="90">
        <f t="shared" si="72"/>
        <v>225.81140625</v>
      </c>
      <c r="P65" s="92"/>
    </row>
    <row r="66" spans="1:16" x14ac:dyDescent="0.25">
      <c r="A66" s="41" t="str">
        <f>IF(G66&lt;&gt;"",1+MAX($A$13:A65),"")</f>
        <v/>
      </c>
      <c r="D66" s="105"/>
      <c r="E66" s="100"/>
      <c r="I66" s="93"/>
      <c r="J66" s="94"/>
      <c r="K66" s="113"/>
      <c r="P66" s="92"/>
    </row>
    <row r="67" spans="1:16" x14ac:dyDescent="0.25">
      <c r="A67" s="41" t="str">
        <f>IF(G67&lt;&gt;"",1+MAX($A$13:A66),"")</f>
        <v/>
      </c>
      <c r="D67" s="103" t="s">
        <v>80</v>
      </c>
      <c r="E67"/>
      <c r="I67" s="93"/>
      <c r="J67" s="94"/>
      <c r="K67" s="113"/>
      <c r="P67" s="92"/>
    </row>
    <row r="68" spans="1:16" x14ac:dyDescent="0.25">
      <c r="A68" s="41">
        <f>IF(G68&lt;&gt;"",1+MAX($A$13:A67),"")</f>
        <v>25</v>
      </c>
      <c r="C68" s="89" t="s">
        <v>268</v>
      </c>
      <c r="D68" s="96" t="s">
        <v>81</v>
      </c>
      <c r="E68" s="100">
        <v>8</v>
      </c>
      <c r="F68" s="91">
        <f>VLOOKUP(H68,'PROJECT SUMMARY'!$C$24:$D$31,2,0)</f>
        <v>0.05</v>
      </c>
      <c r="G68" s="95">
        <f t="shared" ref="G68" si="73">E68*(1+F68)</f>
        <v>8.4</v>
      </c>
      <c r="H68" s="89" t="s">
        <v>10</v>
      </c>
      <c r="I68" s="93">
        <v>4.4999999999999998E-2</v>
      </c>
      <c r="J68" s="94">
        <f t="shared" ref="J68" si="74">I68*G68</f>
        <v>0.378</v>
      </c>
      <c r="K68" s="114">
        <v>50</v>
      </c>
      <c r="L68" s="90">
        <f>K68*J68</f>
        <v>18.899999999999999</v>
      </c>
      <c r="M68" s="90">
        <v>5.82</v>
      </c>
      <c r="N68" s="90">
        <f>M68*G68</f>
        <v>48.888000000000005</v>
      </c>
      <c r="O68" s="90">
        <f t="shared" ref="O68" si="75">L68+N68</f>
        <v>67.788000000000011</v>
      </c>
      <c r="P68" s="92"/>
    </row>
    <row r="69" spans="1:16" ht="16.5" thickBot="1" x14ac:dyDescent="0.3">
      <c r="A69" s="41" t="str">
        <f>IF(G69&lt;&gt;"",1+MAX($A$13:A68),"")</f>
        <v/>
      </c>
      <c r="D69" s="105"/>
      <c r="E69"/>
      <c r="I69" s="93"/>
      <c r="J69" s="94"/>
      <c r="K69" s="113"/>
      <c r="P69" s="92"/>
    </row>
    <row r="70" spans="1:16" ht="16.5" thickBot="1" x14ac:dyDescent="0.3">
      <c r="A70" s="73" t="str">
        <f>IF(G70&lt;&gt;"",1+MAX($A$13:A69),"")</f>
        <v/>
      </c>
      <c r="B70" s="69"/>
      <c r="C70" s="69" t="s">
        <v>271</v>
      </c>
      <c r="D70" s="67" t="s">
        <v>270</v>
      </c>
      <c r="E70" s="71"/>
      <c r="F70" s="72"/>
      <c r="G70" s="71"/>
      <c r="H70" s="71"/>
      <c r="I70" s="67"/>
      <c r="J70" s="67"/>
      <c r="K70" s="115"/>
      <c r="L70" s="68"/>
      <c r="M70" s="68"/>
      <c r="N70" s="68"/>
      <c r="O70" s="70"/>
      <c r="P70" s="74">
        <f>SUM(O71:O95)</f>
        <v>20917.589217000004</v>
      </c>
    </row>
    <row r="71" spans="1:16" x14ac:dyDescent="0.25">
      <c r="A71" s="41" t="str">
        <f>IF(G71&lt;&gt;"",1+MAX($A$13:A70),"")</f>
        <v/>
      </c>
      <c r="D71"/>
      <c r="E71"/>
      <c r="I71" s="93"/>
      <c r="J71" s="94"/>
      <c r="K71" s="113"/>
      <c r="P71" s="92"/>
    </row>
    <row r="72" spans="1:16" x14ac:dyDescent="0.25">
      <c r="A72" s="41" t="str">
        <f>IF(G72&lt;&gt;"",1+MAX($A$13:A71),"")</f>
        <v/>
      </c>
      <c r="D72" s="103" t="s">
        <v>87</v>
      </c>
      <c r="E72"/>
      <c r="I72" s="93"/>
      <c r="J72" s="94"/>
      <c r="K72" s="113"/>
      <c r="P72" s="92"/>
    </row>
    <row r="73" spans="1:16" x14ac:dyDescent="0.25">
      <c r="A73" s="41">
        <f>IF(G73&lt;&gt;"",1+MAX($A$13:A72),"")</f>
        <v>26</v>
      </c>
      <c r="C73" s="89" t="s">
        <v>271</v>
      </c>
      <c r="D73" s="96" t="s">
        <v>88</v>
      </c>
      <c r="E73" s="100">
        <v>1453.63</v>
      </c>
      <c r="F73" s="91">
        <f>VLOOKUP(H73,'PROJECT SUMMARY'!$C$24:$D$31,2,0)</f>
        <v>0.05</v>
      </c>
      <c r="G73" s="95">
        <f t="shared" ref="G73:G77" si="76">E73*(1+F73)</f>
        <v>1526.3115000000003</v>
      </c>
      <c r="H73" s="89" t="s">
        <v>11</v>
      </c>
      <c r="I73" s="93">
        <v>1.4E-2</v>
      </c>
      <c r="J73" s="94">
        <f t="shared" ref="J73:J77" si="77">I73*G73</f>
        <v>21.368361000000004</v>
      </c>
      <c r="K73" s="114">
        <v>52</v>
      </c>
      <c r="L73" s="90">
        <f t="shared" ref="L73:L77" si="78">K73*J73</f>
        <v>1111.1547720000001</v>
      </c>
      <c r="M73" s="90">
        <v>1.92</v>
      </c>
      <c r="N73" s="90">
        <f t="shared" ref="N73:N77" si="79">M73*G73</f>
        <v>2930.5180800000003</v>
      </c>
      <c r="O73" s="90">
        <f t="shared" ref="O73:O77" si="80">L73+N73</f>
        <v>4041.6728520000006</v>
      </c>
      <c r="P73" s="92"/>
    </row>
    <row r="74" spans="1:16" x14ac:dyDescent="0.25">
      <c r="A74" s="41">
        <f>IF(G74&lt;&gt;"",1+MAX($A$13:A73),"")</f>
        <v>27</v>
      </c>
      <c r="C74" s="89" t="s">
        <v>271</v>
      </c>
      <c r="D74" s="96" t="s">
        <v>89</v>
      </c>
      <c r="E74" s="100">
        <v>1453.63</v>
      </c>
      <c r="F74" s="91">
        <f>VLOOKUP(H74,'PROJECT SUMMARY'!$C$24:$D$31,2,0)</f>
        <v>0.05</v>
      </c>
      <c r="G74" s="95">
        <f t="shared" si="76"/>
        <v>1526.3115000000003</v>
      </c>
      <c r="H74" s="89" t="s">
        <v>11</v>
      </c>
      <c r="I74" s="93">
        <v>3.0000000000000001E-3</v>
      </c>
      <c r="J74" s="94">
        <f t="shared" si="77"/>
        <v>4.5789345000000008</v>
      </c>
      <c r="K74" s="114">
        <v>52</v>
      </c>
      <c r="L74" s="90">
        <f t="shared" si="78"/>
        <v>238.10459400000005</v>
      </c>
      <c r="M74" s="90">
        <v>0.2</v>
      </c>
      <c r="N74" s="90">
        <f t="shared" si="79"/>
        <v>305.26230000000004</v>
      </c>
      <c r="O74" s="90">
        <f t="shared" si="80"/>
        <v>543.36689400000012</v>
      </c>
      <c r="P74" s="92"/>
    </row>
    <row r="75" spans="1:16" x14ac:dyDescent="0.25">
      <c r="A75" s="41">
        <f>IF(G75&lt;&gt;"",1+MAX($A$13:A74),"")</f>
        <v>28</v>
      </c>
      <c r="C75" s="89" t="s">
        <v>271</v>
      </c>
      <c r="D75" s="96" t="s">
        <v>90</v>
      </c>
      <c r="E75" s="100">
        <v>309.39</v>
      </c>
      <c r="F75" s="91">
        <f>VLOOKUP(H75,'PROJECT SUMMARY'!$C$24:$D$31,2,0)</f>
        <v>0.05</v>
      </c>
      <c r="G75" s="95">
        <f t="shared" si="76"/>
        <v>324.85950000000003</v>
      </c>
      <c r="H75" s="89" t="s">
        <v>11</v>
      </c>
      <c r="I75" s="93">
        <v>2.5000000000000001E-2</v>
      </c>
      <c r="J75" s="94">
        <f t="shared" si="77"/>
        <v>8.1214875000000006</v>
      </c>
      <c r="K75" s="114">
        <v>52</v>
      </c>
      <c r="L75" s="90">
        <f t="shared" si="78"/>
        <v>422.31735000000003</v>
      </c>
      <c r="M75" s="90">
        <v>4.21</v>
      </c>
      <c r="N75" s="90">
        <f t="shared" si="79"/>
        <v>1367.6584950000001</v>
      </c>
      <c r="O75" s="90">
        <f t="shared" si="80"/>
        <v>1789.9758450000002</v>
      </c>
      <c r="P75" s="92"/>
    </row>
    <row r="76" spans="1:16" x14ac:dyDescent="0.25">
      <c r="A76" s="41">
        <f>IF(G76&lt;&gt;"",1+MAX($A$13:A75),"")</f>
        <v>29</v>
      </c>
      <c r="C76" s="89" t="s">
        <v>271</v>
      </c>
      <c r="D76" s="96" t="s">
        <v>91</v>
      </c>
      <c r="E76" s="100">
        <v>1144.24</v>
      </c>
      <c r="F76" s="91">
        <f>VLOOKUP(H76,'PROJECT SUMMARY'!$C$24:$D$31,2,0)</f>
        <v>0.05</v>
      </c>
      <c r="G76" s="95">
        <f t="shared" si="76"/>
        <v>1201.452</v>
      </c>
      <c r="H76" s="89" t="s">
        <v>11</v>
      </c>
      <c r="I76" s="93">
        <v>2.5000000000000001E-2</v>
      </c>
      <c r="J76" s="94">
        <f t="shared" si="77"/>
        <v>30.036300000000001</v>
      </c>
      <c r="K76" s="114">
        <v>52</v>
      </c>
      <c r="L76" s="90">
        <f t="shared" si="78"/>
        <v>1561.8876</v>
      </c>
      <c r="M76" s="90">
        <v>3.8</v>
      </c>
      <c r="N76" s="90">
        <f t="shared" si="79"/>
        <v>4565.5176000000001</v>
      </c>
      <c r="O76" s="90">
        <f t="shared" si="80"/>
        <v>6127.4052000000001</v>
      </c>
      <c r="P76" s="92"/>
    </row>
    <row r="77" spans="1:16" x14ac:dyDescent="0.25">
      <c r="A77" s="41">
        <f>IF(G77&lt;&gt;"",1+MAX($A$13:A76),"")</f>
        <v>30</v>
      </c>
      <c r="C77" s="89" t="s">
        <v>271</v>
      </c>
      <c r="D77" s="96" t="s">
        <v>93</v>
      </c>
      <c r="E77" s="100">
        <v>1453.63</v>
      </c>
      <c r="F77" s="91">
        <f>VLOOKUP(H77,'PROJECT SUMMARY'!$C$24:$D$31,2,0)</f>
        <v>0.05</v>
      </c>
      <c r="G77" s="95">
        <f t="shared" si="76"/>
        <v>1526.3115000000003</v>
      </c>
      <c r="H77" s="89" t="s">
        <v>11</v>
      </c>
      <c r="I77" s="93">
        <v>6.0000000000000001E-3</v>
      </c>
      <c r="J77" s="94">
        <f t="shared" si="77"/>
        <v>9.1578690000000016</v>
      </c>
      <c r="K77" s="114">
        <v>52</v>
      </c>
      <c r="L77" s="90">
        <f t="shared" si="78"/>
        <v>476.2091880000001</v>
      </c>
      <c r="M77" s="90">
        <v>0.38</v>
      </c>
      <c r="N77" s="90">
        <f t="shared" si="79"/>
        <v>579.99837000000014</v>
      </c>
      <c r="O77" s="90">
        <f t="shared" si="80"/>
        <v>1056.2075580000003</v>
      </c>
      <c r="P77" s="92"/>
    </row>
    <row r="78" spans="1:16" x14ac:dyDescent="0.25">
      <c r="A78" s="41" t="str">
        <f>IF(G78&lt;&gt;"",1+MAX($A$13:A77),"")</f>
        <v/>
      </c>
      <c r="D78" s="105"/>
      <c r="E78"/>
      <c r="I78" s="93"/>
      <c r="J78" s="94"/>
      <c r="K78" s="113"/>
      <c r="P78" s="92"/>
    </row>
    <row r="79" spans="1:16" x14ac:dyDescent="0.25">
      <c r="A79" s="41" t="str">
        <f>IF(G79&lt;&gt;"",1+MAX($A$13:A78),"")</f>
        <v/>
      </c>
      <c r="D79" s="103" t="s">
        <v>96</v>
      </c>
      <c r="E79"/>
      <c r="I79" s="93"/>
      <c r="J79" s="94"/>
      <c r="K79" s="113"/>
      <c r="P79" s="92"/>
    </row>
    <row r="80" spans="1:16" x14ac:dyDescent="0.25">
      <c r="A80" s="41">
        <f>IF(G80&lt;&gt;"",1+MAX($A$13:A79),"")</f>
        <v>31</v>
      </c>
      <c r="C80" s="89" t="s">
        <v>271</v>
      </c>
      <c r="D80" s="96" t="s">
        <v>98</v>
      </c>
      <c r="E80" s="100">
        <v>37</v>
      </c>
      <c r="F80" s="91">
        <f>VLOOKUP(H80,'PROJECT SUMMARY'!$C$24:$D$31,2,0)</f>
        <v>0.05</v>
      </c>
      <c r="G80" s="95">
        <f t="shared" ref="G80:G83" si="81">E80*(1+F80)</f>
        <v>38.85</v>
      </c>
      <c r="H80" s="89" t="s">
        <v>10</v>
      </c>
      <c r="I80" s="93">
        <v>0.03</v>
      </c>
      <c r="J80" s="94">
        <f t="shared" ref="J80:J83" si="82">I80*G80</f>
        <v>1.1655</v>
      </c>
      <c r="K80" s="114">
        <v>52</v>
      </c>
      <c r="L80" s="90">
        <f t="shared" ref="L80:L83" si="83">K80*J80</f>
        <v>60.606000000000002</v>
      </c>
      <c r="M80" s="90">
        <v>2.1800000000000002</v>
      </c>
      <c r="N80" s="90">
        <f t="shared" ref="N80:N83" si="84">M80*G80</f>
        <v>84.693000000000012</v>
      </c>
      <c r="O80" s="90">
        <f t="shared" ref="O80:O83" si="85">L80+N80</f>
        <v>145.29900000000001</v>
      </c>
      <c r="P80" s="92"/>
    </row>
    <row r="81" spans="1:16" x14ac:dyDescent="0.25">
      <c r="A81" s="41">
        <f>IF(G81&lt;&gt;"",1+MAX($A$13:A80),"")</f>
        <v>32</v>
      </c>
      <c r="C81" s="89" t="s">
        <v>271</v>
      </c>
      <c r="D81" s="96" t="s">
        <v>99</v>
      </c>
      <c r="E81" s="100">
        <v>102</v>
      </c>
      <c r="F81" s="91">
        <f>VLOOKUP(H81,'PROJECT SUMMARY'!$C$24:$D$31,2,0)</f>
        <v>0.05</v>
      </c>
      <c r="G81" s="95">
        <f t="shared" si="81"/>
        <v>107.10000000000001</v>
      </c>
      <c r="H81" s="89" t="s">
        <v>10</v>
      </c>
      <c r="I81" s="93">
        <v>2.7E-2</v>
      </c>
      <c r="J81" s="94">
        <f t="shared" si="82"/>
        <v>2.8917000000000002</v>
      </c>
      <c r="K81" s="114">
        <v>52</v>
      </c>
      <c r="L81" s="90">
        <f t="shared" si="83"/>
        <v>150.36840000000001</v>
      </c>
      <c r="M81" s="90">
        <v>0.33</v>
      </c>
      <c r="N81" s="90">
        <f t="shared" si="84"/>
        <v>35.343000000000004</v>
      </c>
      <c r="O81" s="90">
        <f t="shared" si="85"/>
        <v>185.71140000000003</v>
      </c>
      <c r="P81" s="92"/>
    </row>
    <row r="82" spans="1:16" x14ac:dyDescent="0.25">
      <c r="A82" s="41">
        <f>IF(G82&lt;&gt;"",1+MAX($A$13:A81),"")</f>
        <v>33</v>
      </c>
      <c r="C82" s="89" t="s">
        <v>271</v>
      </c>
      <c r="D82" s="96" t="s">
        <v>100</v>
      </c>
      <c r="E82" s="100">
        <f>37*2</f>
        <v>74</v>
      </c>
      <c r="F82" s="91">
        <f>VLOOKUP(H82,'PROJECT SUMMARY'!$C$24:$D$31,2,0)</f>
        <v>0.05</v>
      </c>
      <c r="G82" s="95">
        <f t="shared" si="81"/>
        <v>77.7</v>
      </c>
      <c r="H82" s="89" t="s">
        <v>10</v>
      </c>
      <c r="I82" s="93">
        <v>3.2000000000000001E-2</v>
      </c>
      <c r="J82" s="94">
        <f t="shared" si="82"/>
        <v>2.4864000000000002</v>
      </c>
      <c r="K82" s="114">
        <v>52</v>
      </c>
      <c r="L82" s="90">
        <f t="shared" si="83"/>
        <v>129.2928</v>
      </c>
      <c r="M82" s="90">
        <v>2.65</v>
      </c>
      <c r="N82" s="90">
        <f t="shared" si="84"/>
        <v>205.905</v>
      </c>
      <c r="O82" s="90">
        <f t="shared" si="85"/>
        <v>335.19780000000003</v>
      </c>
      <c r="P82" s="92"/>
    </row>
    <row r="83" spans="1:16" x14ac:dyDescent="0.25">
      <c r="A83" s="41">
        <f>IF(G83&lt;&gt;"",1+MAX($A$13:A82),"")</f>
        <v>34</v>
      </c>
      <c r="C83" s="89" t="s">
        <v>271</v>
      </c>
      <c r="D83" s="96" t="s">
        <v>101</v>
      </c>
      <c r="E83" s="100">
        <f>37*2</f>
        <v>74</v>
      </c>
      <c r="F83" s="91">
        <f>VLOOKUP(H83,'PROJECT SUMMARY'!$C$24:$D$31,2,0)</f>
        <v>0.05</v>
      </c>
      <c r="G83" s="95">
        <f t="shared" si="81"/>
        <v>77.7</v>
      </c>
      <c r="H83" s="89" t="s">
        <v>10</v>
      </c>
      <c r="I83" s="93">
        <v>0.03</v>
      </c>
      <c r="J83" s="94">
        <f t="shared" si="82"/>
        <v>2.331</v>
      </c>
      <c r="K83" s="114">
        <v>52</v>
      </c>
      <c r="L83" s="90">
        <f t="shared" si="83"/>
        <v>121.212</v>
      </c>
      <c r="M83" s="90">
        <v>1.88</v>
      </c>
      <c r="N83" s="90">
        <f t="shared" si="84"/>
        <v>146.07599999999999</v>
      </c>
      <c r="O83" s="90">
        <f t="shared" si="85"/>
        <v>267.28800000000001</v>
      </c>
      <c r="P83" s="92"/>
    </row>
    <row r="84" spans="1:16" x14ac:dyDescent="0.25">
      <c r="A84" s="41" t="str">
        <f>IF(G84&lt;&gt;"",1+MAX($A$13:A83),"")</f>
        <v/>
      </c>
      <c r="D84" s="105"/>
      <c r="E84"/>
      <c r="I84" s="93"/>
      <c r="J84" s="94"/>
      <c r="K84" s="113"/>
      <c r="P84" s="92"/>
    </row>
    <row r="85" spans="1:16" x14ac:dyDescent="0.25">
      <c r="A85" s="41" t="str">
        <f>IF(G85&lt;&gt;"",1+MAX($A$13:A84),"")</f>
        <v/>
      </c>
      <c r="D85" s="103" t="s">
        <v>103</v>
      </c>
      <c r="E85" s="100"/>
      <c r="I85" s="93"/>
      <c r="J85" s="94"/>
      <c r="K85" s="113"/>
      <c r="P85" s="92"/>
    </row>
    <row r="86" spans="1:16" x14ac:dyDescent="0.25">
      <c r="A86" s="41">
        <f>IF(G86&lt;&gt;"",1+MAX($A$13:A85),"")</f>
        <v>35</v>
      </c>
      <c r="C86" s="89" t="s">
        <v>271</v>
      </c>
      <c r="D86" s="96" t="s">
        <v>104</v>
      </c>
      <c r="E86" s="100">
        <v>73.94</v>
      </c>
      <c r="F86" s="91">
        <f>VLOOKUP(H86,'PROJECT SUMMARY'!$C$24:$D$31,2,0)</f>
        <v>0.05</v>
      </c>
      <c r="G86" s="95">
        <f t="shared" ref="G86:G87" si="86">E86*(1+F86)</f>
        <v>77.637</v>
      </c>
      <c r="H86" s="89" t="s">
        <v>10</v>
      </c>
      <c r="I86" s="93">
        <v>5.5E-2</v>
      </c>
      <c r="J86" s="94">
        <f t="shared" ref="J86:J87" si="87">I86*G86</f>
        <v>4.270035</v>
      </c>
      <c r="K86" s="114">
        <v>52</v>
      </c>
      <c r="L86" s="90">
        <f t="shared" ref="L86:L87" si="88">K86*J86</f>
        <v>222.04182</v>
      </c>
      <c r="M86" s="90">
        <v>6.18</v>
      </c>
      <c r="N86" s="90">
        <f t="shared" ref="N86:N87" si="89">M86*G86</f>
        <v>479.79665999999997</v>
      </c>
      <c r="O86" s="90">
        <f t="shared" ref="O86:O87" si="90">L86+N86</f>
        <v>701.83848</v>
      </c>
      <c r="P86" s="92"/>
    </row>
    <row r="87" spans="1:16" x14ac:dyDescent="0.25">
      <c r="A87" s="41">
        <f>IF(G87&lt;&gt;"",1+MAX($A$13:A86),"")</f>
        <v>36</v>
      </c>
      <c r="C87" s="89" t="s">
        <v>271</v>
      </c>
      <c r="D87" s="96" t="s">
        <v>105</v>
      </c>
      <c r="E87" s="100">
        <f>26</f>
        <v>26</v>
      </c>
      <c r="F87" s="91">
        <f>VLOOKUP(H87,'PROJECT SUMMARY'!$C$24:$D$31,2,0)</f>
        <v>0.05</v>
      </c>
      <c r="G87" s="95">
        <f t="shared" si="86"/>
        <v>27.3</v>
      </c>
      <c r="H87" s="89" t="s">
        <v>10</v>
      </c>
      <c r="I87" s="93">
        <v>5.8000000000000003E-2</v>
      </c>
      <c r="J87" s="94">
        <f t="shared" si="87"/>
        <v>1.5834000000000001</v>
      </c>
      <c r="K87" s="114">
        <v>52</v>
      </c>
      <c r="L87" s="90">
        <f t="shared" si="88"/>
        <v>82.336800000000011</v>
      </c>
      <c r="M87" s="90">
        <v>5.45</v>
      </c>
      <c r="N87" s="90">
        <f t="shared" si="89"/>
        <v>148.785</v>
      </c>
      <c r="O87" s="90">
        <f t="shared" si="90"/>
        <v>231.12180000000001</v>
      </c>
      <c r="P87" s="92"/>
    </row>
    <row r="88" spans="1:16" x14ac:dyDescent="0.25">
      <c r="A88" s="41" t="str">
        <f>IF(G88&lt;&gt;"",1+MAX($A$13:A87),"")</f>
        <v/>
      </c>
      <c r="D88" s="105"/>
      <c r="E88"/>
      <c r="I88" s="93"/>
      <c r="J88" s="94"/>
      <c r="K88" s="113"/>
      <c r="P88" s="92"/>
    </row>
    <row r="89" spans="1:16" x14ac:dyDescent="0.25">
      <c r="A89" s="41" t="str">
        <f>IF(G89&lt;&gt;"",1+MAX($A$13:A88),"")</f>
        <v/>
      </c>
      <c r="D89" s="103" t="s">
        <v>322</v>
      </c>
      <c r="E89" s="100"/>
      <c r="I89" s="93"/>
      <c r="J89" s="94"/>
      <c r="K89" s="113"/>
      <c r="P89" s="92"/>
    </row>
    <row r="90" spans="1:16" x14ac:dyDescent="0.25">
      <c r="A90" s="41">
        <f>IF(G90&lt;&gt;"",1+MAX($A$13:A89),"")</f>
        <v>37</v>
      </c>
      <c r="C90" s="89" t="s">
        <v>271</v>
      </c>
      <c r="D90" s="96" t="s">
        <v>322</v>
      </c>
      <c r="E90" s="100">
        <f>648.58+256.1</f>
        <v>904.68000000000006</v>
      </c>
      <c r="F90" s="91">
        <f>VLOOKUP(H90,'PROJECT SUMMARY'!$C$24:$D$31,2,0)</f>
        <v>0.05</v>
      </c>
      <c r="G90" s="95">
        <f t="shared" ref="G90" si="91">E90*(1+F90)</f>
        <v>949.9140000000001</v>
      </c>
      <c r="H90" s="89" t="s">
        <v>11</v>
      </c>
      <c r="I90" s="93">
        <v>6.0000000000000001E-3</v>
      </c>
      <c r="J90" s="94">
        <f t="shared" ref="J90" si="92">I90*G90</f>
        <v>5.6994840000000009</v>
      </c>
      <c r="K90" s="114">
        <v>52</v>
      </c>
      <c r="L90" s="90">
        <f t="shared" ref="L90" si="93">K90*J90</f>
        <v>296.37316800000002</v>
      </c>
      <c r="M90" s="90">
        <v>0.38</v>
      </c>
      <c r="N90" s="90">
        <f t="shared" ref="N90" si="94">M90*G90</f>
        <v>360.96732000000003</v>
      </c>
      <c r="O90" s="90">
        <f t="shared" ref="O90" si="95">L90+N90</f>
        <v>657.34048800000005</v>
      </c>
      <c r="P90" s="92"/>
    </row>
    <row r="91" spans="1:16" x14ac:dyDescent="0.25">
      <c r="A91" s="41" t="str">
        <f>IF(G91&lt;&gt;"",1+MAX($A$13:A90),"")</f>
        <v/>
      </c>
      <c r="D91" s="96"/>
      <c r="E91" s="100"/>
      <c r="I91" s="93"/>
      <c r="J91" s="94"/>
      <c r="K91" s="114"/>
      <c r="P91" s="92"/>
    </row>
    <row r="92" spans="1:16" x14ac:dyDescent="0.25">
      <c r="A92" s="41" t="str">
        <f>IF(G92&lt;&gt;"",1+MAX($A$13:A91),"")</f>
        <v/>
      </c>
      <c r="D92" s="105"/>
      <c r="E92"/>
      <c r="I92" s="93"/>
      <c r="J92" s="94"/>
      <c r="K92" s="113"/>
      <c r="P92" s="92"/>
    </row>
    <row r="93" spans="1:16" x14ac:dyDescent="0.25">
      <c r="A93" s="41" t="str">
        <f>IF(G93&lt;&gt;"",1+MAX($A$13:A92),"")</f>
        <v/>
      </c>
      <c r="D93" s="103" t="s">
        <v>320</v>
      </c>
      <c r="E93" s="100"/>
      <c r="I93" s="93"/>
      <c r="J93" s="94"/>
      <c r="K93" s="113"/>
      <c r="P93" s="92"/>
    </row>
    <row r="94" spans="1:16" x14ac:dyDescent="0.25">
      <c r="A94" s="41">
        <f>IF(G94&lt;&gt;"",1+MAX($A$13:A93),"")</f>
        <v>38</v>
      </c>
      <c r="C94" s="89" t="s">
        <v>271</v>
      </c>
      <c r="D94" s="96" t="s">
        <v>321</v>
      </c>
      <c r="E94" s="100">
        <f>648.58</f>
        <v>648.58000000000004</v>
      </c>
      <c r="F94" s="91">
        <f>VLOOKUP(H94,'PROJECT SUMMARY'!$C$24:$D$31,2,0)</f>
        <v>0.05</v>
      </c>
      <c r="G94" s="95">
        <f t="shared" ref="G94" si="96">E94*(1+F94)</f>
        <v>681.00900000000013</v>
      </c>
      <c r="H94" s="89" t="s">
        <v>11</v>
      </c>
      <c r="I94" s="93">
        <v>2.5000000000000001E-2</v>
      </c>
      <c r="J94" s="94">
        <f t="shared" ref="J94" si="97">I94*G94</f>
        <v>17.025225000000002</v>
      </c>
      <c r="K94" s="113">
        <v>52</v>
      </c>
      <c r="L94" s="90">
        <f t="shared" ref="L94" si="98">K94*J94</f>
        <v>885.31170000000009</v>
      </c>
      <c r="M94" s="90">
        <v>5.8</v>
      </c>
      <c r="N94" s="90">
        <f t="shared" ref="N94" si="99">M94*G94</f>
        <v>3949.8522000000007</v>
      </c>
      <c r="O94" s="90">
        <f t="shared" ref="O94" si="100">L94+N94</f>
        <v>4835.1639000000005</v>
      </c>
      <c r="P94" s="92"/>
    </row>
    <row r="95" spans="1:16" ht="16.5" thickBot="1" x14ac:dyDescent="0.3">
      <c r="A95" s="41" t="str">
        <f>IF(G95&lt;&gt;"",1+MAX($A$13:A94),"")</f>
        <v/>
      </c>
      <c r="D95" s="105"/>
      <c r="E95"/>
      <c r="I95" s="93"/>
      <c r="J95" s="94"/>
      <c r="K95" s="113"/>
      <c r="P95" s="92"/>
    </row>
    <row r="96" spans="1:16" ht="16.5" thickBot="1" x14ac:dyDescent="0.3">
      <c r="A96" s="73" t="str">
        <f>IF(G96&lt;&gt;"",1+MAX($A$13:A95),"")</f>
        <v/>
      </c>
      <c r="B96" s="69"/>
      <c r="C96" s="69" t="s">
        <v>273</v>
      </c>
      <c r="D96" s="67" t="s">
        <v>272</v>
      </c>
      <c r="E96" s="71"/>
      <c r="F96" s="72"/>
      <c r="G96" s="71"/>
      <c r="H96" s="71"/>
      <c r="I96" s="67"/>
      <c r="J96" s="67"/>
      <c r="K96" s="115"/>
      <c r="L96" s="68"/>
      <c r="M96" s="68"/>
      <c r="N96" s="68"/>
      <c r="O96" s="70"/>
      <c r="P96" s="74">
        <f>SUM(O97:O116)</f>
        <v>25526.959000000003</v>
      </c>
    </row>
    <row r="97" spans="1:16" x14ac:dyDescent="0.25">
      <c r="A97" s="41" t="str">
        <f>IF(G97&lt;&gt;"",1+MAX($A$13:A96),"")</f>
        <v/>
      </c>
      <c r="D97"/>
      <c r="E97"/>
      <c r="I97" s="93"/>
      <c r="J97" s="94"/>
      <c r="K97" s="113"/>
      <c r="P97" s="92"/>
    </row>
    <row r="98" spans="1:16" x14ac:dyDescent="0.25">
      <c r="A98" s="41" t="str">
        <f>IF(G98&lt;&gt;"",1+MAX($A$13:A97),"")</f>
        <v/>
      </c>
      <c r="D98" s="103" t="s">
        <v>106</v>
      </c>
      <c r="E98"/>
      <c r="I98" s="93"/>
      <c r="J98" s="94"/>
      <c r="K98" s="113"/>
      <c r="P98" s="92"/>
    </row>
    <row r="99" spans="1:16" x14ac:dyDescent="0.25">
      <c r="A99" s="41">
        <f>IF(G99&lt;&gt;"",1+MAX($A$13:A98),"")</f>
        <v>39</v>
      </c>
      <c r="C99" s="89" t="s">
        <v>273</v>
      </c>
      <c r="D99" s="96" t="s">
        <v>303</v>
      </c>
      <c r="E99" s="100">
        <v>1</v>
      </c>
      <c r="F99" s="91">
        <f>VLOOKUP(H99,'PROJECT SUMMARY'!$C$24:$D$31,2,0)</f>
        <v>0</v>
      </c>
      <c r="G99" s="95">
        <f t="shared" ref="G99:G108" si="101">E99*(1+F99)</f>
        <v>1</v>
      </c>
      <c r="H99" s="89" t="s">
        <v>9</v>
      </c>
      <c r="I99" s="93">
        <v>4.5622799999999994</v>
      </c>
      <c r="J99" s="94">
        <f t="shared" ref="J99:J108" si="102">I99*G99</f>
        <v>4.5622799999999994</v>
      </c>
      <c r="K99" s="114">
        <v>50</v>
      </c>
      <c r="L99" s="90">
        <f t="shared" ref="L99:L108" si="103">K99*J99</f>
        <v>228.11399999999998</v>
      </c>
      <c r="M99" s="90">
        <v>570.28499999999997</v>
      </c>
      <c r="N99" s="90">
        <f t="shared" ref="N99:N108" si="104">M99*G99</f>
        <v>570.28499999999997</v>
      </c>
      <c r="O99" s="90">
        <f t="shared" ref="O99:O108" si="105">L99+N99</f>
        <v>798.39899999999989</v>
      </c>
      <c r="P99" s="92"/>
    </row>
    <row r="100" spans="1:16" x14ac:dyDescent="0.25">
      <c r="A100" s="41">
        <f>IF(G100&lt;&gt;"",1+MAX($A$13:A99),"")</f>
        <v>40</v>
      </c>
      <c r="C100" s="89" t="s">
        <v>273</v>
      </c>
      <c r="D100" s="96" t="s">
        <v>304</v>
      </c>
      <c r="E100" s="100">
        <v>1</v>
      </c>
      <c r="F100" s="91">
        <f>VLOOKUP(H100,'PROJECT SUMMARY'!$C$24:$D$31,2,0)</f>
        <v>0</v>
      </c>
      <c r="G100" s="95">
        <f t="shared" si="101"/>
        <v>1</v>
      </c>
      <c r="H100" s="89" t="s">
        <v>9</v>
      </c>
      <c r="I100" s="93">
        <v>9.1245599999999989</v>
      </c>
      <c r="J100" s="94">
        <f t="shared" si="102"/>
        <v>9.1245599999999989</v>
      </c>
      <c r="K100" s="114">
        <v>50</v>
      </c>
      <c r="L100" s="90">
        <f t="shared" si="103"/>
        <v>456.22799999999995</v>
      </c>
      <c r="M100" s="90">
        <v>1140.57</v>
      </c>
      <c r="N100" s="90">
        <f t="shared" si="104"/>
        <v>1140.57</v>
      </c>
      <c r="O100" s="90">
        <f t="shared" si="105"/>
        <v>1596.7979999999998</v>
      </c>
      <c r="P100" s="92"/>
    </row>
    <row r="101" spans="1:16" x14ac:dyDescent="0.25">
      <c r="A101" s="41">
        <f>IF(G101&lt;&gt;"",1+MAX($A$13:A100),"")</f>
        <v>41</v>
      </c>
      <c r="C101" s="89" t="s">
        <v>273</v>
      </c>
      <c r="D101" s="96" t="s">
        <v>305</v>
      </c>
      <c r="E101" s="100">
        <v>1</v>
      </c>
      <c r="F101" s="91">
        <f>VLOOKUP(H101,'PROJECT SUMMARY'!$C$24:$D$31,2,0)</f>
        <v>0</v>
      </c>
      <c r="G101" s="95">
        <f t="shared" si="101"/>
        <v>1</v>
      </c>
      <c r="H101" s="89" t="s">
        <v>9</v>
      </c>
      <c r="I101" s="93">
        <v>27.72</v>
      </c>
      <c r="J101" s="94">
        <f t="shared" si="102"/>
        <v>27.72</v>
      </c>
      <c r="K101" s="114">
        <v>50</v>
      </c>
      <c r="L101" s="90">
        <f t="shared" si="103"/>
        <v>1386</v>
      </c>
      <c r="M101" s="90">
        <v>6930</v>
      </c>
      <c r="N101" s="90">
        <f t="shared" si="104"/>
        <v>6930</v>
      </c>
      <c r="O101" s="90">
        <f t="shared" si="105"/>
        <v>8316</v>
      </c>
      <c r="P101" s="92"/>
    </row>
    <row r="102" spans="1:16" x14ac:dyDescent="0.25">
      <c r="A102" s="41">
        <f>IF(G102&lt;&gt;"",1+MAX($A$13:A101),"")</f>
        <v>42</v>
      </c>
      <c r="C102" s="89" t="s">
        <v>273</v>
      </c>
      <c r="D102" s="96" t="s">
        <v>306</v>
      </c>
      <c r="E102" s="100">
        <v>1</v>
      </c>
      <c r="F102" s="91">
        <f>VLOOKUP(H102,'PROJECT SUMMARY'!$C$24:$D$31,2,0)</f>
        <v>0</v>
      </c>
      <c r="G102" s="95">
        <f t="shared" si="101"/>
        <v>1</v>
      </c>
      <c r="H102" s="89" t="s">
        <v>9</v>
      </c>
      <c r="I102" s="93">
        <v>4.7880000000000003</v>
      </c>
      <c r="J102" s="94">
        <f t="shared" si="102"/>
        <v>4.7880000000000003</v>
      </c>
      <c r="K102" s="114">
        <v>50</v>
      </c>
      <c r="L102" s="90">
        <f t="shared" si="103"/>
        <v>239.4</v>
      </c>
      <c r="M102" s="90">
        <v>598.5</v>
      </c>
      <c r="N102" s="90">
        <f t="shared" si="104"/>
        <v>598.5</v>
      </c>
      <c r="O102" s="90">
        <f t="shared" si="105"/>
        <v>837.9</v>
      </c>
      <c r="P102" s="92"/>
    </row>
    <row r="103" spans="1:16" x14ac:dyDescent="0.25">
      <c r="A103" s="41">
        <f>IF(G103&lt;&gt;"",1+MAX($A$13:A102),"")</f>
        <v>43</v>
      </c>
      <c r="C103" s="89" t="s">
        <v>273</v>
      </c>
      <c r="D103" s="96" t="s">
        <v>307</v>
      </c>
      <c r="E103" s="100">
        <v>2</v>
      </c>
      <c r="F103" s="91">
        <f>VLOOKUP(H103,'PROJECT SUMMARY'!$C$24:$D$31,2,0)</f>
        <v>0</v>
      </c>
      <c r="G103" s="95">
        <f t="shared" si="101"/>
        <v>2</v>
      </c>
      <c r="H103" s="89" t="s">
        <v>9</v>
      </c>
      <c r="I103" s="93">
        <v>4.2613199999999996</v>
      </c>
      <c r="J103" s="94">
        <f t="shared" si="102"/>
        <v>8.5226399999999991</v>
      </c>
      <c r="K103" s="114">
        <v>50</v>
      </c>
      <c r="L103" s="90">
        <f t="shared" si="103"/>
        <v>426.13199999999995</v>
      </c>
      <c r="M103" s="90">
        <v>532.66499999999996</v>
      </c>
      <c r="N103" s="90">
        <f t="shared" si="104"/>
        <v>1065.33</v>
      </c>
      <c r="O103" s="90">
        <f t="shared" si="105"/>
        <v>1491.462</v>
      </c>
      <c r="P103" s="92"/>
    </row>
    <row r="104" spans="1:16" x14ac:dyDescent="0.25">
      <c r="A104" s="41">
        <f>IF(G104&lt;&gt;"",1+MAX($A$13:A103),"")</f>
        <v>44</v>
      </c>
      <c r="C104" s="89" t="s">
        <v>273</v>
      </c>
      <c r="D104" s="96" t="s">
        <v>308</v>
      </c>
      <c r="E104" s="100">
        <v>1</v>
      </c>
      <c r="F104" s="91">
        <f>VLOOKUP(H104,'PROJECT SUMMARY'!$C$24:$D$31,2,0)</f>
        <v>0</v>
      </c>
      <c r="G104" s="95">
        <f t="shared" si="101"/>
        <v>1</v>
      </c>
      <c r="H104" s="89" t="s">
        <v>9</v>
      </c>
      <c r="I104" s="93">
        <v>6.3840000000000003</v>
      </c>
      <c r="J104" s="94">
        <f t="shared" si="102"/>
        <v>6.3840000000000003</v>
      </c>
      <c r="K104" s="114">
        <v>50</v>
      </c>
      <c r="L104" s="90">
        <f t="shared" si="103"/>
        <v>319.20000000000005</v>
      </c>
      <c r="M104" s="90">
        <v>798</v>
      </c>
      <c r="N104" s="90">
        <f t="shared" si="104"/>
        <v>798</v>
      </c>
      <c r="O104" s="90">
        <f t="shared" si="105"/>
        <v>1117.2</v>
      </c>
      <c r="P104" s="92"/>
    </row>
    <row r="105" spans="1:16" x14ac:dyDescent="0.25">
      <c r="A105" s="41">
        <f>IF(G105&lt;&gt;"",1+MAX($A$13:A104),"")</f>
        <v>45</v>
      </c>
      <c r="C105" s="89" t="s">
        <v>273</v>
      </c>
      <c r="D105" s="96" t="s">
        <v>309</v>
      </c>
      <c r="E105" s="100">
        <v>1</v>
      </c>
      <c r="F105" s="91">
        <f>VLOOKUP(H105,'PROJECT SUMMARY'!$C$24:$D$31,2,0)</f>
        <v>0</v>
      </c>
      <c r="G105" s="95">
        <f t="shared" si="101"/>
        <v>1</v>
      </c>
      <c r="H105" s="89" t="s">
        <v>9</v>
      </c>
      <c r="I105" s="93">
        <v>4.7880000000000003</v>
      </c>
      <c r="J105" s="94">
        <f t="shared" si="102"/>
        <v>4.7880000000000003</v>
      </c>
      <c r="K105" s="114">
        <v>50</v>
      </c>
      <c r="L105" s="90">
        <f t="shared" si="103"/>
        <v>239.4</v>
      </c>
      <c r="M105" s="90">
        <v>598.5</v>
      </c>
      <c r="N105" s="90">
        <f t="shared" si="104"/>
        <v>598.5</v>
      </c>
      <c r="O105" s="90">
        <f t="shared" si="105"/>
        <v>837.9</v>
      </c>
      <c r="P105" s="92"/>
    </row>
    <row r="106" spans="1:16" x14ac:dyDescent="0.25">
      <c r="A106" s="41">
        <f>IF(G106&lt;&gt;"",1+MAX($A$13:A105),"")</f>
        <v>46</v>
      </c>
      <c r="C106" s="89" t="s">
        <v>273</v>
      </c>
      <c r="D106" s="96" t="s">
        <v>310</v>
      </c>
      <c r="E106" s="100">
        <v>1</v>
      </c>
      <c r="F106" s="91">
        <f>VLOOKUP(H106,'PROJECT SUMMARY'!$C$24:$D$31,2,0)</f>
        <v>0</v>
      </c>
      <c r="G106" s="95">
        <f t="shared" si="101"/>
        <v>1</v>
      </c>
      <c r="H106" s="89" t="s">
        <v>9</v>
      </c>
      <c r="I106" s="93">
        <v>11.97</v>
      </c>
      <c r="J106" s="94">
        <f t="shared" si="102"/>
        <v>11.97</v>
      </c>
      <c r="K106" s="114">
        <v>50</v>
      </c>
      <c r="L106" s="90">
        <f t="shared" si="103"/>
        <v>598.5</v>
      </c>
      <c r="M106" s="90">
        <v>2394</v>
      </c>
      <c r="N106" s="90">
        <f t="shared" si="104"/>
        <v>2394</v>
      </c>
      <c r="O106" s="90">
        <f t="shared" si="105"/>
        <v>2992.5</v>
      </c>
      <c r="P106" s="92"/>
    </row>
    <row r="107" spans="1:16" x14ac:dyDescent="0.25">
      <c r="A107" s="41">
        <f>IF(G107&lt;&gt;"",1+MAX($A$13:A106),"")</f>
        <v>47</v>
      </c>
      <c r="C107" s="89" t="s">
        <v>273</v>
      </c>
      <c r="D107" s="96" t="s">
        <v>311</v>
      </c>
      <c r="E107" s="100">
        <v>2</v>
      </c>
      <c r="F107" s="91">
        <f>VLOOKUP(H107,'PROJECT SUMMARY'!$C$24:$D$31,2,0)</f>
        <v>0</v>
      </c>
      <c r="G107" s="95">
        <f t="shared" si="101"/>
        <v>2</v>
      </c>
      <c r="H107" s="89" t="s">
        <v>9</v>
      </c>
      <c r="I107" s="93">
        <v>4.3890000000000002</v>
      </c>
      <c r="J107" s="94">
        <f t="shared" si="102"/>
        <v>8.7780000000000005</v>
      </c>
      <c r="K107" s="114">
        <v>50</v>
      </c>
      <c r="L107" s="90">
        <f t="shared" si="103"/>
        <v>438.90000000000003</v>
      </c>
      <c r="M107" s="90">
        <v>548.625</v>
      </c>
      <c r="N107" s="90">
        <f t="shared" si="104"/>
        <v>1097.25</v>
      </c>
      <c r="O107" s="90">
        <f t="shared" si="105"/>
        <v>1536.15</v>
      </c>
      <c r="P107" s="92"/>
    </row>
    <row r="108" spans="1:16" x14ac:dyDescent="0.25">
      <c r="A108" s="41">
        <f>IF(G108&lt;&gt;"",1+MAX($A$13:A107),"")</f>
        <v>48</v>
      </c>
      <c r="C108" s="89" t="s">
        <v>273</v>
      </c>
      <c r="D108" s="96" t="s">
        <v>312</v>
      </c>
      <c r="E108" s="100">
        <v>1</v>
      </c>
      <c r="F108" s="91">
        <f>VLOOKUP(H108,'PROJECT SUMMARY'!$C$24:$D$31,2,0)</f>
        <v>0</v>
      </c>
      <c r="G108" s="95">
        <f t="shared" si="101"/>
        <v>1</v>
      </c>
      <c r="H108" s="89" t="s">
        <v>9</v>
      </c>
      <c r="I108" s="93">
        <v>6.468</v>
      </c>
      <c r="J108" s="94">
        <f t="shared" si="102"/>
        <v>6.468</v>
      </c>
      <c r="K108" s="114">
        <v>50</v>
      </c>
      <c r="L108" s="90">
        <f t="shared" si="103"/>
        <v>323.39999999999998</v>
      </c>
      <c r="M108" s="90">
        <v>808.5</v>
      </c>
      <c r="N108" s="90">
        <f t="shared" si="104"/>
        <v>808.5</v>
      </c>
      <c r="O108" s="90">
        <f t="shared" si="105"/>
        <v>1131.9000000000001</v>
      </c>
      <c r="P108" s="92"/>
    </row>
    <row r="109" spans="1:16" x14ac:dyDescent="0.25">
      <c r="A109" s="41" t="str">
        <f>IF(G109&lt;&gt;"",1+MAX($A$13:A108),"")</f>
        <v/>
      </c>
      <c r="D109" s="105"/>
      <c r="E109"/>
      <c r="I109" s="93"/>
      <c r="J109" s="94"/>
      <c r="K109" s="113"/>
      <c r="P109" s="92"/>
    </row>
    <row r="110" spans="1:16" x14ac:dyDescent="0.25">
      <c r="A110" s="41" t="str">
        <f>IF(G110&lt;&gt;"",1+MAX($A$13:A109),"")</f>
        <v/>
      </c>
      <c r="D110" s="103" t="s">
        <v>124</v>
      </c>
      <c r="E110"/>
      <c r="I110" s="93"/>
      <c r="J110" s="94"/>
      <c r="K110" s="113"/>
      <c r="P110" s="92"/>
    </row>
    <row r="111" spans="1:16" x14ac:dyDescent="0.25">
      <c r="A111" s="41">
        <f>IF(G111&lt;&gt;"",1+MAX($A$13:A110),"")</f>
        <v>49</v>
      </c>
      <c r="C111" s="89" t="s">
        <v>273</v>
      </c>
      <c r="D111" s="96" t="s">
        <v>125</v>
      </c>
      <c r="E111" s="100">
        <v>12</v>
      </c>
      <c r="F111" s="91">
        <f>VLOOKUP(H111,'PROJECT SUMMARY'!$C$24:$D$31,2,0)</f>
        <v>0</v>
      </c>
      <c r="G111" s="95">
        <f t="shared" ref="G111" si="106">E111*(1+F111)</f>
        <v>12</v>
      </c>
      <c r="H111" s="89" t="s">
        <v>9</v>
      </c>
      <c r="I111" s="93">
        <v>2</v>
      </c>
      <c r="J111" s="94">
        <f t="shared" ref="J111" si="107">I111*G111</f>
        <v>24</v>
      </c>
      <c r="K111" s="114">
        <v>50</v>
      </c>
      <c r="L111" s="90">
        <f>K111*J111</f>
        <v>1200</v>
      </c>
      <c r="M111" s="90">
        <v>220</v>
      </c>
      <c r="N111" s="90">
        <f>M111*G111</f>
        <v>2640</v>
      </c>
      <c r="O111" s="90">
        <f t="shared" ref="O111" si="108">L111+N111</f>
        <v>3840</v>
      </c>
      <c r="P111" s="92"/>
    </row>
    <row r="112" spans="1:16" x14ac:dyDescent="0.25">
      <c r="A112" s="41" t="str">
        <f>IF(G112&lt;&gt;"",1+MAX($A$13:A111),"")</f>
        <v/>
      </c>
      <c r="D112" s="105"/>
      <c r="E112"/>
      <c r="I112" s="93"/>
      <c r="J112" s="94"/>
      <c r="K112" s="113"/>
      <c r="P112" s="92"/>
    </row>
    <row r="113" spans="1:16" x14ac:dyDescent="0.25">
      <c r="A113" s="41" t="str">
        <f>IF(G113&lt;&gt;"",1+MAX($A$13:A112),"")</f>
        <v/>
      </c>
      <c r="D113" s="103" t="s">
        <v>130</v>
      </c>
      <c r="E113"/>
      <c r="I113" s="93"/>
      <c r="J113" s="94"/>
      <c r="K113" s="113"/>
      <c r="P113" s="92"/>
    </row>
    <row r="114" spans="1:16" x14ac:dyDescent="0.25">
      <c r="A114" s="41">
        <f>IF(G114&lt;&gt;"",1+MAX($A$13:A113),"")</f>
        <v>50</v>
      </c>
      <c r="C114" s="89" t="s">
        <v>273</v>
      </c>
      <c r="D114" s="96" t="s">
        <v>313</v>
      </c>
      <c r="E114" s="100">
        <v>1</v>
      </c>
      <c r="F114" s="91">
        <f>VLOOKUP(H114,'PROJECT SUMMARY'!$C$24:$D$31,2,0)</f>
        <v>0</v>
      </c>
      <c r="G114" s="95">
        <f t="shared" ref="G114:G116" si="109">E114*(1+F114)</f>
        <v>1</v>
      </c>
      <c r="H114" s="89" t="s">
        <v>9</v>
      </c>
      <c r="I114" s="93">
        <v>2.40625</v>
      </c>
      <c r="J114" s="94">
        <f t="shared" ref="J114:J116" si="110">I114*G114</f>
        <v>2.40625</v>
      </c>
      <c r="K114" s="114">
        <v>50</v>
      </c>
      <c r="L114" s="90">
        <f t="shared" ref="L114:L116" si="111">K114*J114</f>
        <v>120.3125</v>
      </c>
      <c r="M114" s="90">
        <v>245.4375</v>
      </c>
      <c r="N114" s="90">
        <f t="shared" ref="N114:N116" si="112">M114*G114</f>
        <v>245.4375</v>
      </c>
      <c r="O114" s="90">
        <f t="shared" ref="O114:O116" si="113">L114+N114</f>
        <v>365.75</v>
      </c>
      <c r="P114" s="92"/>
    </row>
    <row r="115" spans="1:16" x14ac:dyDescent="0.25">
      <c r="A115" s="41">
        <f>IF(G115&lt;&gt;"",1+MAX($A$13:A114),"")</f>
        <v>51</v>
      </c>
      <c r="C115" s="89" t="s">
        <v>273</v>
      </c>
      <c r="D115" s="96" t="s">
        <v>314</v>
      </c>
      <c r="E115" s="100">
        <v>1</v>
      </c>
      <c r="F115" s="91">
        <f>VLOOKUP(H115,'PROJECT SUMMARY'!$C$24:$D$31,2,0)</f>
        <v>0</v>
      </c>
      <c r="G115" s="95">
        <f t="shared" si="109"/>
        <v>1</v>
      </c>
      <c r="H115" s="89" t="s">
        <v>9</v>
      </c>
      <c r="I115" s="93">
        <v>1.875</v>
      </c>
      <c r="J115" s="94">
        <f t="shared" si="110"/>
        <v>1.875</v>
      </c>
      <c r="K115" s="114">
        <v>50</v>
      </c>
      <c r="L115" s="90">
        <f t="shared" si="111"/>
        <v>93.75</v>
      </c>
      <c r="M115" s="90">
        <v>191.25</v>
      </c>
      <c r="N115" s="90">
        <f t="shared" si="112"/>
        <v>191.25</v>
      </c>
      <c r="O115" s="90">
        <f t="shared" si="113"/>
        <v>285</v>
      </c>
      <c r="P115" s="92"/>
    </row>
    <row r="116" spans="1:16" x14ac:dyDescent="0.25">
      <c r="A116" s="41">
        <f>IF(G116&lt;&gt;"",1+MAX($A$13:A115),"")</f>
        <v>52</v>
      </c>
      <c r="C116" s="89" t="s">
        <v>273</v>
      </c>
      <c r="D116" s="96" t="s">
        <v>315</v>
      </c>
      <c r="E116" s="100">
        <v>1</v>
      </c>
      <c r="F116" s="91">
        <f>VLOOKUP(H116,'PROJECT SUMMARY'!$C$24:$D$31,2,0)</f>
        <v>0</v>
      </c>
      <c r="G116" s="95">
        <f t="shared" si="109"/>
        <v>1</v>
      </c>
      <c r="H116" s="89" t="s">
        <v>9</v>
      </c>
      <c r="I116" s="93">
        <v>2.5</v>
      </c>
      <c r="J116" s="94">
        <f t="shared" si="110"/>
        <v>2.5</v>
      </c>
      <c r="K116" s="114">
        <v>50</v>
      </c>
      <c r="L116" s="90">
        <f t="shared" si="111"/>
        <v>125</v>
      </c>
      <c r="M116" s="90">
        <v>255</v>
      </c>
      <c r="N116" s="90">
        <f t="shared" si="112"/>
        <v>255</v>
      </c>
      <c r="O116" s="90">
        <f t="shared" si="113"/>
        <v>380</v>
      </c>
      <c r="P116" s="92"/>
    </row>
    <row r="117" spans="1:16" ht="16.5" thickBot="1" x14ac:dyDescent="0.3">
      <c r="A117" s="41" t="str">
        <f>IF(G117&lt;&gt;"",1+MAX($A$13:A116),"")</f>
        <v/>
      </c>
      <c r="D117" s="105"/>
      <c r="E117"/>
      <c r="I117" s="93"/>
      <c r="J117" s="94"/>
      <c r="K117" s="113"/>
      <c r="P117" s="92"/>
    </row>
    <row r="118" spans="1:16" ht="16.5" thickBot="1" x14ac:dyDescent="0.3">
      <c r="A118" s="73" t="str">
        <f>IF(G118&lt;&gt;"",1+MAX($A$13:A117),"")</f>
        <v/>
      </c>
      <c r="B118" s="69"/>
      <c r="C118" s="69" t="s">
        <v>274</v>
      </c>
      <c r="D118" s="67" t="s">
        <v>275</v>
      </c>
      <c r="E118" s="71"/>
      <c r="F118" s="72"/>
      <c r="G118" s="71"/>
      <c r="H118" s="71"/>
      <c r="I118" s="67"/>
      <c r="J118" s="67"/>
      <c r="K118" s="115"/>
      <c r="L118" s="68"/>
      <c r="M118" s="68"/>
      <c r="N118" s="68"/>
      <c r="O118" s="70"/>
      <c r="P118" s="74">
        <f>SUM(O119:O169)</f>
        <v>54810.770541730264</v>
      </c>
    </row>
    <row r="119" spans="1:16" x14ac:dyDescent="0.25">
      <c r="A119" s="41" t="str">
        <f>IF(G119&lt;&gt;"",1+MAX($A$13:A118),"")</f>
        <v/>
      </c>
      <c r="D119"/>
      <c r="E119"/>
      <c r="I119" s="93"/>
      <c r="J119" s="94"/>
      <c r="K119" s="113"/>
      <c r="P119" s="92"/>
    </row>
    <row r="120" spans="1:16" x14ac:dyDescent="0.25">
      <c r="A120" s="41" t="str">
        <f>IF(G120&lt;&gt;"",1+MAX($A$13:A119),"")</f>
        <v/>
      </c>
      <c r="D120" s="103" t="s">
        <v>144</v>
      </c>
      <c r="E120"/>
      <c r="I120" s="93"/>
      <c r="J120" s="94"/>
      <c r="K120" s="113"/>
      <c r="P120" s="92"/>
    </row>
    <row r="121" spans="1:16" x14ac:dyDescent="0.25">
      <c r="A121" s="41" t="str">
        <f>IF(G121&lt;&gt;"",1+MAX($A$13:A120),"")</f>
        <v/>
      </c>
      <c r="D121" s="107" t="s">
        <v>362</v>
      </c>
      <c r="E121" s="108"/>
      <c r="F121" s="109"/>
      <c r="G121" s="110"/>
      <c r="H121" s="111"/>
      <c r="I121" s="93"/>
      <c r="J121" s="94"/>
      <c r="K121" s="113"/>
      <c r="P121" s="92"/>
    </row>
    <row r="122" spans="1:16" x14ac:dyDescent="0.25">
      <c r="A122" s="41">
        <f>IF(G122&lt;&gt;"",1+MAX($A$13:A121),"")</f>
        <v>53</v>
      </c>
      <c r="C122" s="89" t="s">
        <v>274</v>
      </c>
      <c r="D122" s="96" t="s">
        <v>364</v>
      </c>
      <c r="E122" s="100">
        <v>1426.05</v>
      </c>
      <c r="F122" s="91">
        <f>VLOOKUP(H122,'PROJECT SUMMARY'!$C$24:$D$31,2,0)</f>
        <v>0.05</v>
      </c>
      <c r="G122" s="95">
        <f t="shared" ref="G122:G128" si="114">E122*(1+F122)</f>
        <v>1497.3525</v>
      </c>
      <c r="H122" s="89" t="s">
        <v>11</v>
      </c>
      <c r="I122" s="93">
        <v>1.1875E-2</v>
      </c>
      <c r="J122" s="94">
        <f t="shared" ref="J122:J123" si="115">I122*G122</f>
        <v>17.781060937500001</v>
      </c>
      <c r="K122" s="113">
        <v>50</v>
      </c>
      <c r="L122" s="90">
        <f t="shared" ref="L122:L123" si="116">K122*J122</f>
        <v>889.05304687500006</v>
      </c>
      <c r="M122" s="90">
        <v>0.44</v>
      </c>
      <c r="N122" s="90">
        <f t="shared" ref="N122:N128" si="117">M122*G122</f>
        <v>658.83510000000001</v>
      </c>
      <c r="O122" s="90">
        <f t="shared" ref="O122:O128" si="118">L122+N122</f>
        <v>1547.8881468750001</v>
      </c>
      <c r="P122" s="92"/>
    </row>
    <row r="123" spans="1:16" x14ac:dyDescent="0.25">
      <c r="A123" s="41">
        <f>IF(G123&lt;&gt;"",1+MAX($A$13:A122),"")</f>
        <v>54</v>
      </c>
      <c r="C123" s="89" t="s">
        <v>274</v>
      </c>
      <c r="D123" s="96" t="s">
        <v>365</v>
      </c>
      <c r="E123" s="100">
        <f>92.96+198.4125</f>
        <v>291.3725</v>
      </c>
      <c r="F123" s="91">
        <f>VLOOKUP(H123,'PROJECT SUMMARY'!$C$24:$D$31,2,0)</f>
        <v>0.05</v>
      </c>
      <c r="G123" s="95">
        <f t="shared" si="114"/>
        <v>305.941125</v>
      </c>
      <c r="H123" s="89" t="s">
        <v>11</v>
      </c>
      <c r="I123" s="93">
        <v>1.2E-2</v>
      </c>
      <c r="J123" s="94">
        <f t="shared" si="115"/>
        <v>3.6712935</v>
      </c>
      <c r="K123" s="113">
        <v>50</v>
      </c>
      <c r="L123" s="90">
        <f t="shared" si="116"/>
        <v>183.56467499999999</v>
      </c>
      <c r="M123" s="90">
        <v>0.51</v>
      </c>
      <c r="N123" s="90">
        <f t="shared" si="117"/>
        <v>156.02997375000001</v>
      </c>
      <c r="O123" s="90">
        <f t="shared" si="118"/>
        <v>339.59464875000003</v>
      </c>
      <c r="P123" s="92"/>
    </row>
    <row r="124" spans="1:16" x14ac:dyDescent="0.25">
      <c r="A124" s="41">
        <f>IF(G124&lt;&gt;"",1+MAX($A$13:A123),"")</f>
        <v>55</v>
      </c>
      <c r="C124" s="89" t="s">
        <v>274</v>
      </c>
      <c r="D124" s="96" t="s">
        <v>366</v>
      </c>
      <c r="E124" s="100">
        <v>1717.425</v>
      </c>
      <c r="F124" s="91">
        <f>VLOOKUP(H124,'PROJECT SUMMARY'!$C$24:$D$31,2,0)</f>
        <v>0.05</v>
      </c>
      <c r="G124" s="95">
        <f t="shared" si="114"/>
        <v>1803.2962500000001</v>
      </c>
      <c r="H124" s="89" t="s">
        <v>11</v>
      </c>
      <c r="I124" s="93">
        <v>1.0999999999999999E-2</v>
      </c>
      <c r="J124" s="94">
        <f t="shared" ref="J124:J128" si="119">I124*G124</f>
        <v>19.836258749999999</v>
      </c>
      <c r="K124" s="114">
        <v>50</v>
      </c>
      <c r="L124" s="90">
        <f t="shared" ref="L124:L128" si="120">K124*J124</f>
        <v>991.81293749999998</v>
      </c>
      <c r="M124" s="90">
        <v>0.86</v>
      </c>
      <c r="N124" s="90">
        <f t="shared" si="117"/>
        <v>1550.834775</v>
      </c>
      <c r="O124" s="90">
        <f t="shared" si="118"/>
        <v>2542.6477125000001</v>
      </c>
      <c r="P124" s="92"/>
    </row>
    <row r="125" spans="1:16" x14ac:dyDescent="0.25">
      <c r="A125" s="41">
        <f>IF(G125&lt;&gt;"",1+MAX($A$13:A124),"")</f>
        <v>56</v>
      </c>
      <c r="C125" s="89" t="s">
        <v>274</v>
      </c>
      <c r="D125" s="96" t="s">
        <v>367</v>
      </c>
      <c r="E125" s="100">
        <f>1962.8/1.33+(211.52*3)</f>
        <v>2110.3494736842104</v>
      </c>
      <c r="F125" s="91">
        <f>VLOOKUP(H125,'PROJECT SUMMARY'!$C$24:$D$31,2,0)</f>
        <v>0.05</v>
      </c>
      <c r="G125" s="95">
        <f t="shared" si="114"/>
        <v>2215.8669473684208</v>
      </c>
      <c r="H125" s="89" t="s">
        <v>10</v>
      </c>
      <c r="I125" s="93">
        <v>3.7999999999999999E-2</v>
      </c>
      <c r="J125" s="94">
        <f t="shared" si="119"/>
        <v>84.202943999999988</v>
      </c>
      <c r="K125" s="113">
        <v>50</v>
      </c>
      <c r="L125" s="90">
        <f t="shared" si="120"/>
        <v>4210.1471999999994</v>
      </c>
      <c r="M125" s="90">
        <v>1.41</v>
      </c>
      <c r="N125" s="90">
        <f t="shared" si="117"/>
        <v>3124.3723957894731</v>
      </c>
      <c r="O125" s="90">
        <f t="shared" si="118"/>
        <v>7334.5195957894721</v>
      </c>
      <c r="P125" s="92"/>
    </row>
    <row r="126" spans="1:16" x14ac:dyDescent="0.25">
      <c r="A126" s="41">
        <f>IF(G126&lt;&gt;"",1+MAX($A$13:A125),"")</f>
        <v>57</v>
      </c>
      <c r="C126" s="89" t="s">
        <v>274</v>
      </c>
      <c r="D126" s="96" t="s">
        <v>322</v>
      </c>
      <c r="E126" s="100">
        <f>1717.425</f>
        <v>1717.425</v>
      </c>
      <c r="F126" s="91">
        <f>VLOOKUP(H126,'PROJECT SUMMARY'!$C$24:$D$31,2,0)</f>
        <v>0.05</v>
      </c>
      <c r="G126" s="95">
        <f t="shared" si="114"/>
        <v>1803.2962500000001</v>
      </c>
      <c r="H126" s="89" t="s">
        <v>11</v>
      </c>
      <c r="I126" s="93">
        <v>6.0000000000000001E-3</v>
      </c>
      <c r="J126" s="94">
        <f t="shared" si="119"/>
        <v>10.819777500000001</v>
      </c>
      <c r="K126" s="114">
        <v>52</v>
      </c>
      <c r="L126" s="90">
        <f t="shared" si="120"/>
        <v>562.62842999999998</v>
      </c>
      <c r="M126" s="90">
        <v>0.38</v>
      </c>
      <c r="N126" s="90">
        <f t="shared" si="117"/>
        <v>685.25257500000009</v>
      </c>
      <c r="O126" s="90">
        <f t="shared" si="118"/>
        <v>1247.8810050000002</v>
      </c>
      <c r="P126" s="92"/>
    </row>
    <row r="127" spans="1:16" x14ac:dyDescent="0.25">
      <c r="A127" s="41">
        <f>IF(G127&lt;&gt;"",1+MAX($A$13:A126),"")</f>
        <v>58</v>
      </c>
      <c r="C127" s="89" t="s">
        <v>274</v>
      </c>
      <c r="D127" s="96" t="s">
        <v>368</v>
      </c>
      <c r="E127" s="100">
        <v>1561.83</v>
      </c>
      <c r="F127" s="91">
        <f>VLOOKUP(H127,'PROJECT SUMMARY'!$C$24:$D$31,2,0)</f>
        <v>0.05</v>
      </c>
      <c r="G127" s="95">
        <f t="shared" si="114"/>
        <v>1639.9214999999999</v>
      </c>
      <c r="H127" s="89" t="s">
        <v>11</v>
      </c>
      <c r="I127" s="93">
        <v>1.4999999999999999E-2</v>
      </c>
      <c r="J127" s="94">
        <f t="shared" si="119"/>
        <v>24.598822499999997</v>
      </c>
      <c r="K127" s="113">
        <v>50</v>
      </c>
      <c r="L127" s="90">
        <f t="shared" si="120"/>
        <v>1229.9411249999998</v>
      </c>
      <c r="M127" s="90">
        <v>0.91</v>
      </c>
      <c r="N127" s="90">
        <f t="shared" si="117"/>
        <v>1492.328565</v>
      </c>
      <c r="O127" s="90">
        <f t="shared" si="118"/>
        <v>2722.2696900000001</v>
      </c>
      <c r="P127" s="92"/>
    </row>
    <row r="128" spans="1:16" x14ac:dyDescent="0.25">
      <c r="A128" s="41">
        <f>IF(G128&lt;&gt;"",1+MAX($A$13:A127),"")</f>
        <v>59</v>
      </c>
      <c r="C128" s="89" t="s">
        <v>274</v>
      </c>
      <c r="D128" s="96" t="s">
        <v>369</v>
      </c>
      <c r="E128" s="100">
        <v>1561.83</v>
      </c>
      <c r="F128" s="91">
        <f>VLOOKUP(H128,'PROJECT SUMMARY'!$C$24:$D$31,2,0)</f>
        <v>0.05</v>
      </c>
      <c r="G128" s="95">
        <f t="shared" si="114"/>
        <v>1639.9214999999999</v>
      </c>
      <c r="H128" s="89" t="s">
        <v>11</v>
      </c>
      <c r="I128" s="93">
        <v>4.0000000000000001E-3</v>
      </c>
      <c r="J128" s="94">
        <f t="shared" si="119"/>
        <v>6.5596860000000001</v>
      </c>
      <c r="K128" s="113">
        <v>50</v>
      </c>
      <c r="L128" s="90">
        <f t="shared" si="120"/>
        <v>327.98430000000002</v>
      </c>
      <c r="M128" s="90">
        <v>0.26</v>
      </c>
      <c r="N128" s="90">
        <f t="shared" si="117"/>
        <v>426.37959000000001</v>
      </c>
      <c r="O128" s="90">
        <f t="shared" si="118"/>
        <v>754.36389000000008</v>
      </c>
      <c r="P128" s="92"/>
    </row>
    <row r="129" spans="1:16" x14ac:dyDescent="0.25">
      <c r="A129" s="41" t="str">
        <f>IF(G129&lt;&gt;"",1+MAX($A$13:A128),"")</f>
        <v/>
      </c>
      <c r="D129" s="105"/>
      <c r="E129"/>
      <c r="I129" s="93"/>
      <c r="J129" s="94"/>
      <c r="K129" s="113"/>
      <c r="P129" s="92"/>
    </row>
    <row r="130" spans="1:16" x14ac:dyDescent="0.25">
      <c r="A130" s="41" t="str">
        <f>IF(G130&lt;&gt;"",1+MAX($A$13:A129),"")</f>
        <v/>
      </c>
      <c r="D130" s="107" t="s">
        <v>363</v>
      </c>
      <c r="E130" s="108"/>
      <c r="F130" s="109"/>
      <c r="G130" s="110"/>
      <c r="H130" s="111"/>
      <c r="I130" s="93"/>
      <c r="J130" s="94"/>
      <c r="K130" s="113"/>
      <c r="P130" s="92"/>
    </row>
    <row r="131" spans="1:16" x14ac:dyDescent="0.25">
      <c r="A131" s="41">
        <f>IF(G131&lt;&gt;"",1+MAX($A$13:A130),"")</f>
        <v>60</v>
      </c>
      <c r="C131" s="89" t="s">
        <v>274</v>
      </c>
      <c r="D131" s="96" t="s">
        <v>364</v>
      </c>
      <c r="E131" s="100">
        <v>1062.22</v>
      </c>
      <c r="F131" s="91">
        <f>VLOOKUP(H131,'PROJECT SUMMARY'!$C$24:$D$31,2,0)</f>
        <v>0.05</v>
      </c>
      <c r="G131" s="95">
        <f t="shared" ref="G131:G135" si="121">E131*(1+F131)</f>
        <v>1115.3310000000001</v>
      </c>
      <c r="H131" s="89" t="s">
        <v>11</v>
      </c>
      <c r="I131" s="93">
        <v>1.1875E-2</v>
      </c>
      <c r="J131" s="94">
        <f t="shared" ref="J131:J132" si="122">I131*G131</f>
        <v>13.244555625000002</v>
      </c>
      <c r="K131" s="113">
        <v>50</v>
      </c>
      <c r="L131" s="90">
        <f t="shared" ref="L131:L132" si="123">K131*J131</f>
        <v>662.22778125000013</v>
      </c>
      <c r="M131" s="90">
        <v>0.44</v>
      </c>
      <c r="N131" s="90">
        <f t="shared" ref="N131:N135" si="124">M131*G131</f>
        <v>490.74564000000004</v>
      </c>
      <c r="O131" s="90">
        <f t="shared" ref="O131:O135" si="125">L131+N131</f>
        <v>1152.9734212500002</v>
      </c>
      <c r="P131" s="92"/>
    </row>
    <row r="132" spans="1:16" x14ac:dyDescent="0.25">
      <c r="A132" s="41">
        <f>IF(G132&lt;&gt;"",1+MAX($A$13:A131),"")</f>
        <v>61</v>
      </c>
      <c r="C132" s="89" t="s">
        <v>274</v>
      </c>
      <c r="D132" s="96" t="s">
        <v>365</v>
      </c>
      <c r="E132" s="100">
        <v>143.76</v>
      </c>
      <c r="F132" s="91">
        <f>VLOOKUP(H132,'PROJECT SUMMARY'!$C$24:$D$31,2,0)</f>
        <v>0.05</v>
      </c>
      <c r="G132" s="95">
        <f t="shared" si="121"/>
        <v>150.94800000000001</v>
      </c>
      <c r="H132" s="89" t="s">
        <v>11</v>
      </c>
      <c r="I132" s="93">
        <v>1.2E-2</v>
      </c>
      <c r="J132" s="94">
        <f t="shared" si="122"/>
        <v>1.8113760000000001</v>
      </c>
      <c r="K132" s="113">
        <v>50</v>
      </c>
      <c r="L132" s="90">
        <f t="shared" si="123"/>
        <v>90.56880000000001</v>
      </c>
      <c r="M132" s="90">
        <v>0.51</v>
      </c>
      <c r="N132" s="90">
        <f t="shared" si="124"/>
        <v>76.98348</v>
      </c>
      <c r="O132" s="90">
        <f t="shared" si="125"/>
        <v>167.55228</v>
      </c>
      <c r="P132" s="92"/>
    </row>
    <row r="133" spans="1:16" x14ac:dyDescent="0.25">
      <c r="A133" s="41">
        <f>IF(G133&lt;&gt;"",1+MAX($A$13:A132),"")</f>
        <v>62</v>
      </c>
      <c r="C133" s="89" t="s">
        <v>274</v>
      </c>
      <c r="D133" s="96" t="s">
        <v>366</v>
      </c>
      <c r="E133" s="100">
        <v>162.11000000000001</v>
      </c>
      <c r="F133" s="91">
        <f>VLOOKUP(H133,'PROJECT SUMMARY'!$C$24:$D$31,2,0)</f>
        <v>0.05</v>
      </c>
      <c r="G133" s="95">
        <f t="shared" si="121"/>
        <v>170.21550000000002</v>
      </c>
      <c r="H133" s="89" t="s">
        <v>10</v>
      </c>
      <c r="I133" s="93">
        <v>1.0999999999999999E-2</v>
      </c>
      <c r="J133" s="94">
        <f t="shared" ref="J133:J135" si="126">I133*G133</f>
        <v>1.8723705000000002</v>
      </c>
      <c r="K133" s="114">
        <v>50</v>
      </c>
      <c r="L133" s="90">
        <f t="shared" ref="L133:L135" si="127">K133*J133</f>
        <v>93.618525000000005</v>
      </c>
      <c r="M133" s="90">
        <v>0.86</v>
      </c>
      <c r="N133" s="90">
        <f t="shared" si="124"/>
        <v>146.38533000000001</v>
      </c>
      <c r="O133" s="90">
        <f t="shared" si="125"/>
        <v>240.00385500000002</v>
      </c>
      <c r="P133" s="92"/>
    </row>
    <row r="134" spans="1:16" x14ac:dyDescent="0.25">
      <c r="A134" s="41">
        <f>IF(G134&lt;&gt;"",1+MAX($A$13:A133),"")</f>
        <v>63</v>
      </c>
      <c r="C134" s="89" t="s">
        <v>274</v>
      </c>
      <c r="D134" s="96" t="s">
        <v>367</v>
      </c>
      <c r="E134" s="100">
        <f>162.11/1.33+(19.51*3)</f>
        <v>180.4172180451128</v>
      </c>
      <c r="F134" s="91">
        <f>VLOOKUP(H134,'PROJECT SUMMARY'!$C$24:$D$31,2,0)</f>
        <v>0.05</v>
      </c>
      <c r="G134" s="95">
        <f t="shared" si="121"/>
        <v>189.43807894736844</v>
      </c>
      <c r="H134" s="89" t="s">
        <v>10</v>
      </c>
      <c r="I134" s="93">
        <v>3.7999999999999999E-2</v>
      </c>
      <c r="J134" s="94">
        <f t="shared" si="126"/>
        <v>7.1986470000000002</v>
      </c>
      <c r="K134" s="113">
        <v>50</v>
      </c>
      <c r="L134" s="90">
        <f t="shared" si="127"/>
        <v>359.93234999999999</v>
      </c>
      <c r="M134" s="90">
        <v>1.41</v>
      </c>
      <c r="N134" s="90">
        <f t="shared" si="124"/>
        <v>267.10769131578951</v>
      </c>
      <c r="O134" s="90">
        <f t="shared" si="125"/>
        <v>627.04004131578949</v>
      </c>
      <c r="P134" s="92"/>
    </row>
    <row r="135" spans="1:16" x14ac:dyDescent="0.25">
      <c r="A135" s="41">
        <f>IF(G135&lt;&gt;"",1+MAX($A$13:A134),"")</f>
        <v>64</v>
      </c>
      <c r="C135" s="89" t="s">
        <v>274</v>
      </c>
      <c r="D135" s="96" t="s">
        <v>370</v>
      </c>
      <c r="E135" s="100">
        <f>440.88+55.11*3</f>
        <v>606.21</v>
      </c>
      <c r="F135" s="91">
        <f>VLOOKUP(H135,'PROJECT SUMMARY'!$C$24:$D$31,2,0)</f>
        <v>0.05</v>
      </c>
      <c r="G135" s="95">
        <f t="shared" si="121"/>
        <v>636.52050000000008</v>
      </c>
      <c r="H135" s="89" t="s">
        <v>10</v>
      </c>
      <c r="I135" s="93">
        <v>3.5999999999999997E-2</v>
      </c>
      <c r="J135" s="94">
        <f t="shared" si="126"/>
        <v>22.914738</v>
      </c>
      <c r="K135" s="114">
        <v>50</v>
      </c>
      <c r="L135" s="90">
        <f t="shared" si="127"/>
        <v>1145.7368999999999</v>
      </c>
      <c r="M135" s="90">
        <v>1.27</v>
      </c>
      <c r="N135" s="90">
        <f t="shared" si="124"/>
        <v>808.38103500000011</v>
      </c>
      <c r="O135" s="90">
        <f t="shared" si="125"/>
        <v>1954.117935</v>
      </c>
      <c r="P135" s="92"/>
    </row>
    <row r="136" spans="1:16" x14ac:dyDescent="0.25">
      <c r="A136" s="41" t="str">
        <f>IF(G136&lt;&gt;"",1+MAX($A$13:A135),"")</f>
        <v/>
      </c>
      <c r="D136" s="96"/>
      <c r="E136" s="100"/>
      <c r="I136" s="93"/>
      <c r="J136" s="94"/>
      <c r="K136" s="113"/>
      <c r="P136" s="92"/>
    </row>
    <row r="137" spans="1:16" x14ac:dyDescent="0.25">
      <c r="A137" s="41">
        <f>IF(G137&lt;&gt;"",1+MAX($A$13:A136),"")</f>
        <v>65</v>
      </c>
      <c r="C137" s="89" t="s">
        <v>274</v>
      </c>
      <c r="D137" s="106" t="s">
        <v>76</v>
      </c>
      <c r="E137" s="100">
        <f>2923/32*24</f>
        <v>2192.25</v>
      </c>
      <c r="F137" s="91">
        <f>VLOOKUP(H137,'PROJECT SUMMARY'!$C$24:$D$31,2,0)</f>
        <v>0.05</v>
      </c>
      <c r="G137" s="95">
        <f t="shared" ref="G137:G139" si="128">E137*(1+F137)</f>
        <v>2301.8625000000002</v>
      </c>
      <c r="H137" s="89" t="s">
        <v>10</v>
      </c>
      <c r="I137" s="93">
        <v>8.0000000000000002E-3</v>
      </c>
      <c r="J137" s="94">
        <f t="shared" ref="J137:J139" si="129">I137*G137</f>
        <v>18.414900000000003</v>
      </c>
      <c r="K137" s="114">
        <v>50</v>
      </c>
      <c r="L137" s="90">
        <f t="shared" ref="L137:L139" si="130">K137*J137</f>
        <v>920.74500000000012</v>
      </c>
      <c r="M137" s="90">
        <v>0.02</v>
      </c>
      <c r="N137" s="90">
        <f t="shared" ref="N137:N139" si="131">M137*G137</f>
        <v>46.037250000000007</v>
      </c>
      <c r="O137" s="90">
        <f t="shared" ref="O137:O139" si="132">L137+N137</f>
        <v>966.78225000000009</v>
      </c>
      <c r="P137" s="92"/>
    </row>
    <row r="138" spans="1:16" x14ac:dyDescent="0.25">
      <c r="A138" s="41">
        <f>IF(G138&lt;&gt;"",1+MAX($A$13:A137),"")</f>
        <v>66</v>
      </c>
      <c r="C138" s="89" t="s">
        <v>274</v>
      </c>
      <c r="D138" s="106" t="s">
        <v>77</v>
      </c>
      <c r="E138" s="100">
        <f>2923*0.053</f>
        <v>154.91899999999998</v>
      </c>
      <c r="F138" s="91">
        <f>VLOOKUP(H138,'PROJECT SUMMARY'!$C$24:$D$31,2,0)</f>
        <v>0.05</v>
      </c>
      <c r="G138" s="95">
        <f t="shared" si="128"/>
        <v>162.66494999999998</v>
      </c>
      <c r="H138" s="89" t="s">
        <v>78</v>
      </c>
      <c r="I138" s="93">
        <v>0.05</v>
      </c>
      <c r="J138" s="94">
        <f t="shared" si="129"/>
        <v>8.1332474999999995</v>
      </c>
      <c r="K138" s="114">
        <v>50</v>
      </c>
      <c r="L138" s="90">
        <f t="shared" si="130"/>
        <v>406.662375</v>
      </c>
      <c r="M138" s="90">
        <v>0.5</v>
      </c>
      <c r="N138" s="90">
        <f t="shared" si="131"/>
        <v>81.332474999999988</v>
      </c>
      <c r="O138" s="90">
        <f t="shared" si="132"/>
        <v>487.99484999999999</v>
      </c>
      <c r="P138" s="92"/>
    </row>
    <row r="139" spans="1:16" x14ac:dyDescent="0.25">
      <c r="A139" s="41">
        <f>IF(G139&lt;&gt;"",1+MAX($A$13:A138),"")</f>
        <v>67</v>
      </c>
      <c r="C139" s="89" t="s">
        <v>274</v>
      </c>
      <c r="D139" s="106" t="s">
        <v>79</v>
      </c>
      <c r="E139" s="100">
        <f>2923/32*45</f>
        <v>4110.46875</v>
      </c>
      <c r="F139" s="91">
        <f>VLOOKUP(H139,'PROJECT SUMMARY'!$C$24:$D$31,2,0)</f>
        <v>0</v>
      </c>
      <c r="G139" s="95">
        <f t="shared" si="128"/>
        <v>4110.46875</v>
      </c>
      <c r="H139" s="89" t="s">
        <v>9</v>
      </c>
      <c r="I139" s="93">
        <v>2E-3</v>
      </c>
      <c r="J139" s="94">
        <f t="shared" si="129"/>
        <v>8.2209374999999998</v>
      </c>
      <c r="K139" s="114">
        <v>50</v>
      </c>
      <c r="L139" s="90">
        <f t="shared" si="130"/>
        <v>411.046875</v>
      </c>
      <c r="M139" s="90">
        <v>3.0000000000000001E-3</v>
      </c>
      <c r="N139" s="90">
        <f t="shared" si="131"/>
        <v>12.331406250000001</v>
      </c>
      <c r="O139" s="90">
        <f t="shared" si="132"/>
        <v>423.37828124999999</v>
      </c>
      <c r="P139" s="92"/>
    </row>
    <row r="140" spans="1:16" x14ac:dyDescent="0.25">
      <c r="A140" s="41" t="str">
        <f>IF(G140&lt;&gt;"",1+MAX($A$13:A139),"")</f>
        <v/>
      </c>
      <c r="D140" s="105"/>
      <c r="E140" s="100"/>
      <c r="I140" s="93"/>
      <c r="J140" s="94"/>
      <c r="K140" s="113"/>
      <c r="P140" s="92"/>
    </row>
    <row r="141" spans="1:16" x14ac:dyDescent="0.25">
      <c r="A141" s="41" t="str">
        <f>IF(G141&lt;&gt;"",1+MAX($A$13:A140),"")</f>
        <v/>
      </c>
      <c r="D141" s="103" t="s">
        <v>174</v>
      </c>
      <c r="E141" s="100"/>
      <c r="I141" s="93"/>
      <c r="J141" s="94"/>
      <c r="K141" s="113"/>
      <c r="P141" s="92"/>
    </row>
    <row r="142" spans="1:16" x14ac:dyDescent="0.25">
      <c r="A142" s="41">
        <f>IF(G142&lt;&gt;"",1+MAX($A$13:A141),"")</f>
        <v>68</v>
      </c>
      <c r="C142" s="89" t="s">
        <v>274</v>
      </c>
      <c r="D142" s="96" t="s">
        <v>329</v>
      </c>
      <c r="E142" s="100">
        <v>1501.05</v>
      </c>
      <c r="F142" s="91">
        <f>VLOOKUP(H142,'PROJECT SUMMARY'!$C$24:$D$31,2,0)</f>
        <v>0.05</v>
      </c>
      <c r="G142" s="95">
        <f t="shared" ref="G142:G143" si="133">E142*(1+F142)</f>
        <v>1576.1025</v>
      </c>
      <c r="H142" s="89" t="s">
        <v>11</v>
      </c>
      <c r="I142" s="93">
        <v>7.4999999999999997E-2</v>
      </c>
      <c r="J142" s="94">
        <f t="shared" ref="J142:J143" si="134">I142*G142</f>
        <v>118.20768749999999</v>
      </c>
      <c r="K142" s="113">
        <v>52</v>
      </c>
      <c r="L142" s="90">
        <f t="shared" ref="L142:L143" si="135">K142*J142</f>
        <v>6146.7997499999992</v>
      </c>
      <c r="M142" s="90">
        <v>2.5</v>
      </c>
      <c r="N142" s="90">
        <f t="shared" ref="N142:N143" si="136">M142*G142</f>
        <v>3940.2562499999999</v>
      </c>
      <c r="O142" s="90">
        <f t="shared" ref="O142:O143" si="137">L142+N142</f>
        <v>10087.055999999999</v>
      </c>
      <c r="P142" s="92"/>
    </row>
    <row r="143" spans="1:16" x14ac:dyDescent="0.25">
      <c r="A143" s="41">
        <f>IF(G143&lt;&gt;"",1+MAX($A$13:A142),"")</f>
        <v>69</v>
      </c>
      <c r="C143" s="89" t="s">
        <v>274</v>
      </c>
      <c r="D143" s="96" t="s">
        <v>316</v>
      </c>
      <c r="E143" s="100">
        <v>180.84</v>
      </c>
      <c r="F143" s="91">
        <f>VLOOKUP(H143,'PROJECT SUMMARY'!$C$24:$D$31,2,0)</f>
        <v>0.05</v>
      </c>
      <c r="G143" s="95">
        <f t="shared" si="133"/>
        <v>189.88200000000001</v>
      </c>
      <c r="H143" s="89" t="s">
        <v>11</v>
      </c>
      <c r="I143" s="93">
        <v>4.2000000000000003E-2</v>
      </c>
      <c r="J143" s="94">
        <f t="shared" si="134"/>
        <v>7.9750440000000005</v>
      </c>
      <c r="K143" s="113">
        <v>52</v>
      </c>
      <c r="L143" s="90">
        <f t="shared" si="135"/>
        <v>414.70228800000001</v>
      </c>
      <c r="M143" s="90">
        <v>3.12</v>
      </c>
      <c r="N143" s="90">
        <f t="shared" si="136"/>
        <v>592.43184000000008</v>
      </c>
      <c r="O143" s="90">
        <f t="shared" si="137"/>
        <v>1007.1341280000001</v>
      </c>
      <c r="P143" s="92"/>
    </row>
    <row r="144" spans="1:16" x14ac:dyDescent="0.25">
      <c r="A144" s="41" t="str">
        <f>IF(G144&lt;&gt;"",1+MAX($A$13:A143),"")</f>
        <v/>
      </c>
      <c r="D144" s="96"/>
      <c r="E144" s="100"/>
      <c r="I144" s="93"/>
      <c r="J144" s="94"/>
      <c r="K144" s="113"/>
      <c r="P144" s="92"/>
    </row>
    <row r="145" spans="1:16" x14ac:dyDescent="0.25">
      <c r="A145" s="41">
        <f>IF(G145&lt;&gt;"",1+MAX($A$13:A144),"")</f>
        <v>70</v>
      </c>
      <c r="C145" s="89" t="s">
        <v>274</v>
      </c>
      <c r="D145" s="96" t="s">
        <v>360</v>
      </c>
      <c r="E145" s="100">
        <v>289.19</v>
      </c>
      <c r="F145" s="91">
        <f>VLOOKUP(H145,'PROJECT SUMMARY'!$C$24:$D$31,2,0)</f>
        <v>0.05</v>
      </c>
      <c r="G145" s="95">
        <f t="shared" ref="G145" si="138">E145*(1+F145)</f>
        <v>303.64949999999999</v>
      </c>
      <c r="H145" s="89" t="s">
        <v>11</v>
      </c>
      <c r="I145" s="93">
        <v>3.5000000000000003E-2</v>
      </c>
      <c r="J145" s="94">
        <f t="shared" ref="J145" si="139">I145*G145</f>
        <v>10.6277325</v>
      </c>
      <c r="K145" s="114">
        <v>52</v>
      </c>
      <c r="L145" s="90">
        <f t="shared" ref="L145" si="140">K145*J145</f>
        <v>552.64209000000005</v>
      </c>
      <c r="M145" s="90">
        <v>3.25</v>
      </c>
      <c r="N145" s="90">
        <f t="shared" ref="N145" si="141">M145*G145</f>
        <v>986.86087499999996</v>
      </c>
      <c r="O145" s="90">
        <f t="shared" ref="O145" si="142">L145+N145</f>
        <v>1539.5029650000001</v>
      </c>
      <c r="P145" s="92"/>
    </row>
    <row r="146" spans="1:16" x14ac:dyDescent="0.25">
      <c r="A146" s="41">
        <f>IF(G146&lt;&gt;"",1+MAX($A$13:A145),"")</f>
        <v>71</v>
      </c>
      <c r="C146" s="89" t="s">
        <v>274</v>
      </c>
      <c r="D146" s="96" t="s">
        <v>361</v>
      </c>
      <c r="E146" s="100">
        <v>429.93</v>
      </c>
      <c r="F146" s="91">
        <f>VLOOKUP(H146,'PROJECT SUMMARY'!$C$24:$D$31,2,0)</f>
        <v>0.05</v>
      </c>
      <c r="G146" s="95">
        <f t="shared" ref="G146" si="143">E146*(1+F146)</f>
        <v>451.42650000000003</v>
      </c>
      <c r="H146" s="89" t="s">
        <v>11</v>
      </c>
      <c r="I146" s="93">
        <v>0.06</v>
      </c>
      <c r="J146" s="94">
        <f t="shared" ref="J146" si="144">I146*G146</f>
        <v>27.08559</v>
      </c>
      <c r="K146" s="114">
        <v>52</v>
      </c>
      <c r="L146" s="90">
        <f t="shared" ref="L146" si="145">K146*J146</f>
        <v>1408.4506799999999</v>
      </c>
      <c r="M146" s="90">
        <v>6.57</v>
      </c>
      <c r="N146" s="90">
        <f t="shared" ref="N146" si="146">M146*G146</f>
        <v>2965.8721050000004</v>
      </c>
      <c r="O146" s="90">
        <f t="shared" ref="O146" si="147">L146+N146</f>
        <v>4374.3227850000003</v>
      </c>
      <c r="P146" s="92"/>
    </row>
    <row r="147" spans="1:16" x14ac:dyDescent="0.25">
      <c r="A147" s="41" t="str">
        <f>IF(G147&lt;&gt;"",1+MAX($A$13:A146),"")</f>
        <v/>
      </c>
      <c r="D147" s="105"/>
      <c r="E147"/>
      <c r="I147" s="93"/>
      <c r="J147" s="94"/>
      <c r="K147" s="113"/>
      <c r="P147" s="92"/>
    </row>
    <row r="148" spans="1:16" x14ac:dyDescent="0.25">
      <c r="A148" s="41" t="str">
        <f>IF(G148&lt;&gt;"",1+MAX($A$13:A147),"")</f>
        <v/>
      </c>
      <c r="D148" s="103" t="s">
        <v>178</v>
      </c>
      <c r="E148"/>
      <c r="I148" s="93"/>
      <c r="J148" s="94"/>
      <c r="K148" s="113"/>
      <c r="P148" s="92"/>
    </row>
    <row r="149" spans="1:16" x14ac:dyDescent="0.25">
      <c r="A149" s="41">
        <f>IF(G149&lt;&gt;"",1+MAX($A$13:A148),"")</f>
        <v>72</v>
      </c>
      <c r="C149" s="89" t="s">
        <v>274</v>
      </c>
      <c r="D149" s="96" t="s">
        <v>179</v>
      </c>
      <c r="E149" s="100">
        <v>3168.79</v>
      </c>
      <c r="F149" s="91">
        <f>VLOOKUP(H149,'PROJECT SUMMARY'!$C$24:$D$31,2,0)</f>
        <v>0.05</v>
      </c>
      <c r="G149" s="95">
        <f t="shared" ref="G149" si="148">E149*(1+F149)</f>
        <v>3327.2294999999999</v>
      </c>
      <c r="H149" s="89" t="s">
        <v>11</v>
      </c>
      <c r="I149" s="93">
        <v>1.7999999999999999E-2</v>
      </c>
      <c r="J149" s="94">
        <f t="shared" ref="J149" si="149">I149*G149</f>
        <v>59.890130999999997</v>
      </c>
      <c r="K149" s="114">
        <v>39</v>
      </c>
      <c r="L149" s="90">
        <f>K149*J149</f>
        <v>2335.7151089999998</v>
      </c>
      <c r="M149" s="90">
        <v>0.4</v>
      </c>
      <c r="N149" s="90">
        <f>M149*G149</f>
        <v>1330.8918000000001</v>
      </c>
      <c r="O149" s="90">
        <f t="shared" ref="O149" si="150">L149+N149</f>
        <v>3666.6069090000001</v>
      </c>
      <c r="P149" s="92"/>
    </row>
    <row r="150" spans="1:16" x14ac:dyDescent="0.25">
      <c r="A150" s="41" t="str">
        <f>IF(G150&lt;&gt;"",1+MAX($A$13:A149),"")</f>
        <v/>
      </c>
      <c r="D150" s="105"/>
      <c r="E150"/>
      <c r="I150" s="93"/>
      <c r="J150" s="94"/>
      <c r="K150" s="113"/>
      <c r="P150" s="92"/>
    </row>
    <row r="151" spans="1:16" x14ac:dyDescent="0.25">
      <c r="A151" s="41" t="str">
        <f>IF(G151&lt;&gt;"",1+MAX($A$13:A150),"")</f>
        <v/>
      </c>
      <c r="D151" s="103" t="s">
        <v>180</v>
      </c>
      <c r="E151"/>
      <c r="I151" s="93"/>
      <c r="J151" s="94"/>
      <c r="K151" s="113"/>
      <c r="P151" s="92"/>
    </row>
    <row r="152" spans="1:16" x14ac:dyDescent="0.25">
      <c r="A152" s="41">
        <f>IF(G152&lt;&gt;"",1+MAX($A$13:A151),"")</f>
        <v>73</v>
      </c>
      <c r="C152" s="89" t="s">
        <v>274</v>
      </c>
      <c r="D152" s="96" t="s">
        <v>181</v>
      </c>
      <c r="E152" s="100">
        <f>16*8</f>
        <v>128</v>
      </c>
      <c r="F152" s="91">
        <f>VLOOKUP(H152,'PROJECT SUMMARY'!$C$24:$D$31,2,0)</f>
        <v>0.05</v>
      </c>
      <c r="G152" s="95">
        <f t="shared" ref="G152" si="151">E152*(1+F152)</f>
        <v>134.4</v>
      </c>
      <c r="H152" s="89" t="s">
        <v>11</v>
      </c>
      <c r="I152" s="93">
        <v>7.4999999999999997E-2</v>
      </c>
      <c r="J152" s="94">
        <f t="shared" ref="J152" si="152">I152*G152</f>
        <v>10.08</v>
      </c>
      <c r="K152" s="114">
        <v>52</v>
      </c>
      <c r="L152" s="90">
        <f>K152*J152</f>
        <v>524.16</v>
      </c>
      <c r="M152" s="90">
        <v>4.75</v>
      </c>
      <c r="N152" s="90">
        <f>M152*G152</f>
        <v>638.4</v>
      </c>
      <c r="O152" s="90">
        <f t="shared" ref="O152" si="153">L152+N152</f>
        <v>1162.56</v>
      </c>
      <c r="P152" s="92"/>
    </row>
    <row r="153" spans="1:16" x14ac:dyDescent="0.25">
      <c r="A153" s="41" t="str">
        <f>IF(G153&lt;&gt;"",1+MAX($A$13:A152),"")</f>
        <v/>
      </c>
      <c r="D153" s="105"/>
      <c r="E153"/>
      <c r="I153" s="93"/>
      <c r="J153" s="94"/>
      <c r="K153" s="113"/>
      <c r="P153" s="92"/>
    </row>
    <row r="154" spans="1:16" x14ac:dyDescent="0.25">
      <c r="A154" s="41" t="str">
        <f>IF(G154&lt;&gt;"",1+MAX($A$13:A153),"")</f>
        <v/>
      </c>
      <c r="D154" s="103" t="s">
        <v>184</v>
      </c>
      <c r="E154"/>
      <c r="I154" s="93"/>
      <c r="J154" s="94"/>
      <c r="K154" s="113"/>
      <c r="P154" s="92"/>
    </row>
    <row r="155" spans="1:16" x14ac:dyDescent="0.25">
      <c r="A155" s="41">
        <f>IF(G155&lt;&gt;"",1+MAX($A$13:A154),"")</f>
        <v>74</v>
      </c>
      <c r="C155" s="89" t="s">
        <v>274</v>
      </c>
      <c r="D155" s="96" t="s">
        <v>326</v>
      </c>
      <c r="E155" s="100">
        <v>570.35</v>
      </c>
      <c r="F155" s="91">
        <f>VLOOKUP(H155,'PROJECT SUMMARY'!$C$24:$D$31,2,0)</f>
        <v>0.05</v>
      </c>
      <c r="G155" s="95">
        <f t="shared" ref="G155" si="154">E155*(1+F155)</f>
        <v>598.86750000000006</v>
      </c>
      <c r="H155" s="89" t="s">
        <v>11</v>
      </c>
      <c r="I155" s="93">
        <v>3.2000000000000001E-2</v>
      </c>
      <c r="J155" s="94">
        <f t="shared" ref="J155:J157" si="155">I155*G155</f>
        <v>19.163760000000003</v>
      </c>
      <c r="K155" s="114">
        <v>52</v>
      </c>
      <c r="L155" s="90">
        <f t="shared" ref="L155:L156" si="156">K155*J155</f>
        <v>996.51552000000015</v>
      </c>
      <c r="M155" s="90">
        <v>1.1000000000000001</v>
      </c>
      <c r="N155" s="90">
        <f t="shared" ref="N155:N156" si="157">M155*G155</f>
        <v>658.75425000000007</v>
      </c>
      <c r="O155" s="90">
        <f t="shared" ref="O155" si="158">L155+N155</f>
        <v>1655.2697700000003</v>
      </c>
      <c r="P155" s="92"/>
    </row>
    <row r="156" spans="1:16" x14ac:dyDescent="0.25">
      <c r="A156" s="41">
        <f>IF(G156&lt;&gt;"",1+MAX($A$13:A155),"")</f>
        <v>75</v>
      </c>
      <c r="C156" s="89" t="s">
        <v>274</v>
      </c>
      <c r="D156" s="96" t="s">
        <v>327</v>
      </c>
      <c r="E156" s="100">
        <v>562.51</v>
      </c>
      <c r="F156" s="91">
        <f>VLOOKUP(H156,'PROJECT SUMMARY'!$C$24:$D$31,2,0)</f>
        <v>0.05</v>
      </c>
      <c r="G156" s="95">
        <f t="shared" ref="G156" si="159">E156*(1+F156)</f>
        <v>590.63549999999998</v>
      </c>
      <c r="H156" s="89" t="s">
        <v>11</v>
      </c>
      <c r="I156" s="93">
        <v>0.04</v>
      </c>
      <c r="J156" s="94">
        <f t="shared" si="155"/>
        <v>23.625419999999998</v>
      </c>
      <c r="K156" s="113">
        <v>52</v>
      </c>
      <c r="L156" s="90">
        <f t="shared" si="156"/>
        <v>1228.5218399999999</v>
      </c>
      <c r="M156" s="90">
        <v>3.21</v>
      </c>
      <c r="N156" s="90">
        <f t="shared" si="157"/>
        <v>1895.9399549999998</v>
      </c>
      <c r="O156" s="90">
        <f t="shared" ref="O156" si="160">L156+N156</f>
        <v>3124.4617949999997</v>
      </c>
      <c r="P156" s="92"/>
    </row>
    <row r="157" spans="1:16" x14ac:dyDescent="0.25">
      <c r="A157" s="41">
        <f>IF(G157&lt;&gt;"",1+MAX($A$13:A156),"")</f>
        <v>76</v>
      </c>
      <c r="C157" s="89" t="s">
        <v>274</v>
      </c>
      <c r="D157" s="96" t="s">
        <v>328</v>
      </c>
      <c r="E157" s="100">
        <v>20.83</v>
      </c>
      <c r="F157" s="91">
        <f>VLOOKUP(H157,'PROJECT SUMMARY'!$C$24:$D$31,2,0)</f>
        <v>0.05</v>
      </c>
      <c r="G157" s="95">
        <f t="shared" ref="G157" si="161">E157*(1+F157)</f>
        <v>21.871499999999997</v>
      </c>
      <c r="H157" s="89" t="s">
        <v>11</v>
      </c>
      <c r="I157" s="93">
        <v>7.4999999999999997E-2</v>
      </c>
      <c r="J157" s="94">
        <f t="shared" si="155"/>
        <v>1.6403624999999997</v>
      </c>
      <c r="K157" s="113">
        <v>52</v>
      </c>
      <c r="L157" s="90">
        <f>K157*J157</f>
        <v>85.298849999999987</v>
      </c>
      <c r="M157" s="90">
        <v>4.75</v>
      </c>
      <c r="N157" s="90">
        <f t="shared" ref="N157" si="162">M157*G157</f>
        <v>103.889625</v>
      </c>
      <c r="O157" s="90">
        <f t="shared" ref="O157" si="163">L157+N157</f>
        <v>189.18847499999998</v>
      </c>
      <c r="P157" s="92"/>
    </row>
    <row r="158" spans="1:16" x14ac:dyDescent="0.25">
      <c r="A158" s="41" t="str">
        <f>IF(G158&lt;&gt;"",1+MAX($A$13:A157),"")</f>
        <v/>
      </c>
      <c r="D158" s="105"/>
      <c r="E158"/>
      <c r="I158" s="93"/>
      <c r="J158" s="94"/>
      <c r="K158" s="113"/>
      <c r="P158" s="92"/>
    </row>
    <row r="159" spans="1:16" x14ac:dyDescent="0.25">
      <c r="A159" s="41" t="str">
        <f>IF(G159&lt;&gt;"",1+MAX($A$13:A158),"")</f>
        <v/>
      </c>
      <c r="D159" s="103" t="s">
        <v>185</v>
      </c>
      <c r="E159"/>
      <c r="I159" s="93"/>
      <c r="J159" s="94"/>
      <c r="K159" s="113"/>
      <c r="P159" s="92"/>
    </row>
    <row r="160" spans="1:16" x14ac:dyDescent="0.25">
      <c r="A160" s="41">
        <f>IF(G160&lt;&gt;"",1+MAX($A$13:A159),"")</f>
        <v>77</v>
      </c>
      <c r="C160" s="89" t="s">
        <v>274</v>
      </c>
      <c r="D160" s="96" t="s">
        <v>292</v>
      </c>
      <c r="E160" s="100">
        <v>360.76</v>
      </c>
      <c r="F160" s="91">
        <f>VLOOKUP(H160,'PROJECT SUMMARY'!$C$24:$D$31,2,0)</f>
        <v>0.05</v>
      </c>
      <c r="G160" s="95">
        <f t="shared" ref="G160" si="164">E160*(1+F160)</f>
        <v>378.798</v>
      </c>
      <c r="H160" s="89" t="s">
        <v>10</v>
      </c>
      <c r="I160" s="93">
        <v>2.5000000000000001E-2</v>
      </c>
      <c r="J160" s="94">
        <f t="shared" ref="J160" si="165">I160*G160</f>
        <v>9.4699500000000008</v>
      </c>
      <c r="K160" s="114">
        <v>52</v>
      </c>
      <c r="L160" s="90">
        <f t="shared" ref="L160" si="166">K160*J160</f>
        <v>492.43740000000003</v>
      </c>
      <c r="M160" s="90">
        <v>1.81</v>
      </c>
      <c r="N160" s="90">
        <f t="shared" ref="N160" si="167">M160*G160</f>
        <v>685.62437999999997</v>
      </c>
      <c r="O160" s="90">
        <f t="shared" ref="O160" si="168">L160+N160</f>
        <v>1178.06178</v>
      </c>
      <c r="P160" s="92"/>
    </row>
    <row r="161" spans="1:16" x14ac:dyDescent="0.25">
      <c r="A161" s="41" t="str">
        <f>IF(G161&lt;&gt;"",1+MAX($A$13:A160),"")</f>
        <v/>
      </c>
      <c r="D161" s="96"/>
      <c r="E161" s="100"/>
      <c r="I161" s="93"/>
      <c r="J161" s="94"/>
      <c r="K161" s="113"/>
      <c r="P161" s="92"/>
    </row>
    <row r="162" spans="1:16" x14ac:dyDescent="0.25">
      <c r="A162" s="41" t="str">
        <f>IF(G162&lt;&gt;"",1+MAX($A$13:A161),"")</f>
        <v/>
      </c>
      <c r="D162" s="103" t="s">
        <v>186</v>
      </c>
      <c r="E162"/>
      <c r="I162" s="93"/>
      <c r="J162" s="94"/>
      <c r="K162" s="113"/>
      <c r="P162" s="92"/>
    </row>
    <row r="163" spans="1:16" x14ac:dyDescent="0.25">
      <c r="A163" s="41">
        <f>IF(G163&lt;&gt;"",1+MAX($A$13:A162),"")</f>
        <v>78</v>
      </c>
      <c r="C163" s="89" t="s">
        <v>274</v>
      </c>
      <c r="D163" s="96" t="s">
        <v>359</v>
      </c>
      <c r="E163" s="100">
        <v>1559</v>
      </c>
      <c r="F163" s="91">
        <f>VLOOKUP(H163,'PROJECT SUMMARY'!$C$24:$D$31,2,0)</f>
        <v>0.05</v>
      </c>
      <c r="G163" s="95">
        <f t="shared" ref="G163" si="169">E163*(1+F163)</f>
        <v>1636.95</v>
      </c>
      <c r="H163" s="89" t="s">
        <v>11</v>
      </c>
      <c r="I163" s="93">
        <v>1.7999999999999999E-2</v>
      </c>
      <c r="J163" s="94">
        <f t="shared" ref="J163" si="170">I163*G163</f>
        <v>29.4651</v>
      </c>
      <c r="K163" s="114">
        <v>39</v>
      </c>
      <c r="L163" s="90">
        <f>K163*J163</f>
        <v>1149.1388999999999</v>
      </c>
      <c r="M163" s="90">
        <v>0.4</v>
      </c>
      <c r="N163" s="90">
        <f t="shared" ref="N163" si="171">M163*G163</f>
        <v>654.78000000000009</v>
      </c>
      <c r="O163" s="90">
        <f t="shared" ref="O163" si="172">L163+N163</f>
        <v>1803.9189000000001</v>
      </c>
      <c r="P163" s="92"/>
    </row>
    <row r="164" spans="1:16" x14ac:dyDescent="0.25">
      <c r="A164" s="41" t="str">
        <f>IF(G164&lt;&gt;"",1+MAX($A$13:A163),"")</f>
        <v/>
      </c>
      <c r="D164" s="96"/>
      <c r="E164" s="100"/>
      <c r="I164" s="93"/>
      <c r="J164" s="94"/>
      <c r="K164" s="113"/>
      <c r="P164" s="92"/>
    </row>
    <row r="165" spans="1:16" x14ac:dyDescent="0.25">
      <c r="A165" s="41" t="str">
        <f>IF(G165&lt;&gt;"",1+MAX($A$13:A164),"")</f>
        <v/>
      </c>
      <c r="D165" s="103" t="s">
        <v>187</v>
      </c>
      <c r="E165"/>
      <c r="I165" s="93"/>
      <c r="J165" s="94"/>
      <c r="K165" s="113"/>
      <c r="P165" s="92"/>
    </row>
    <row r="166" spans="1:16" x14ac:dyDescent="0.25">
      <c r="A166" s="41">
        <f>IF(G166&lt;&gt;"",1+MAX($A$13:A165),"")</f>
        <v>79</v>
      </c>
      <c r="C166" s="89" t="s">
        <v>274</v>
      </c>
      <c r="D166" s="96" t="s">
        <v>293</v>
      </c>
      <c r="E166" s="100">
        <v>12</v>
      </c>
      <c r="F166" s="91">
        <f>VLOOKUP(H166,'PROJECT SUMMARY'!$C$24:$D$31,2,0)</f>
        <v>0</v>
      </c>
      <c r="G166" s="95">
        <f t="shared" ref="G166" si="173">E166*(1+F166)</f>
        <v>12</v>
      </c>
      <c r="H166" s="89" t="s">
        <v>9</v>
      </c>
      <c r="I166" s="93">
        <v>1.06</v>
      </c>
      <c r="J166" s="94">
        <f t="shared" ref="J166" si="174">I166*G166</f>
        <v>12.72</v>
      </c>
      <c r="K166" s="114">
        <v>39</v>
      </c>
      <c r="L166" s="90">
        <f t="shared" ref="L166" si="175">K166*J166</f>
        <v>496.08000000000004</v>
      </c>
      <c r="M166" s="90">
        <v>32.6</v>
      </c>
      <c r="N166" s="90">
        <f t="shared" ref="N166" si="176">M166*G166</f>
        <v>391.20000000000005</v>
      </c>
      <c r="O166" s="90">
        <f t="shared" ref="O166" si="177">L166+N166</f>
        <v>887.28000000000009</v>
      </c>
      <c r="P166" s="92"/>
    </row>
    <row r="167" spans="1:16" x14ac:dyDescent="0.25">
      <c r="A167" s="41" t="str">
        <f>IF(G167&lt;&gt;"",1+MAX($A$13:A166),"")</f>
        <v/>
      </c>
      <c r="D167" s="96"/>
      <c r="E167" s="100"/>
      <c r="I167" s="93"/>
      <c r="J167" s="94"/>
      <c r="K167" s="113"/>
      <c r="P167" s="92"/>
    </row>
    <row r="168" spans="1:16" x14ac:dyDescent="0.25">
      <c r="A168" s="41">
        <f>IF(G168&lt;&gt;"",1+MAX($A$13:A167),"")</f>
        <v>80</v>
      </c>
      <c r="C168" s="89" t="s">
        <v>274</v>
      </c>
      <c r="D168" s="96" t="s">
        <v>188</v>
      </c>
      <c r="E168" s="100">
        <v>395.04</v>
      </c>
      <c r="F168" s="91">
        <f>VLOOKUP(H168,'PROJECT SUMMARY'!$C$24:$D$31,2,0)</f>
        <v>0.05</v>
      </c>
      <c r="G168" s="95">
        <f t="shared" ref="G168:G169" si="178">E168*(1+F168)</f>
        <v>414.79200000000003</v>
      </c>
      <c r="H168" s="89" t="s">
        <v>10</v>
      </c>
      <c r="I168" s="93">
        <v>2.8000000000000001E-2</v>
      </c>
      <c r="J168" s="94">
        <f t="shared" ref="J168:J169" si="179">I168*G168</f>
        <v>11.614176</v>
      </c>
      <c r="K168" s="114">
        <v>52</v>
      </c>
      <c r="L168" s="90">
        <f t="shared" ref="L168:L169" si="180">K168*J168</f>
        <v>603.93715199999997</v>
      </c>
      <c r="M168" s="90">
        <v>1.18</v>
      </c>
      <c r="N168" s="90">
        <f t="shared" ref="N168:N169" si="181">M168*G168</f>
        <v>489.45456000000001</v>
      </c>
      <c r="O168" s="90">
        <f t="shared" ref="O168:O169" si="182">L168+N168</f>
        <v>1093.3917120000001</v>
      </c>
      <c r="P168" s="92"/>
    </row>
    <row r="169" spans="1:16" x14ac:dyDescent="0.25">
      <c r="A169" s="41">
        <f>IF(G169&lt;&gt;"",1+MAX($A$13:A168),"")</f>
        <v>81</v>
      </c>
      <c r="C169" s="89" t="s">
        <v>274</v>
      </c>
      <c r="D169" s="96" t="s">
        <v>189</v>
      </c>
      <c r="E169" s="100">
        <v>395.04</v>
      </c>
      <c r="F169" s="91">
        <f>VLOOKUP(H169,'PROJECT SUMMARY'!$C$24:$D$31,2,0)</f>
        <v>0.05</v>
      </c>
      <c r="G169" s="95">
        <f t="shared" si="178"/>
        <v>414.79200000000003</v>
      </c>
      <c r="H169" s="89" t="s">
        <v>10</v>
      </c>
      <c r="I169" s="93">
        <v>1.4999999999999999E-2</v>
      </c>
      <c r="J169" s="94">
        <f t="shared" si="179"/>
        <v>6.2218800000000005</v>
      </c>
      <c r="K169" s="114">
        <v>39</v>
      </c>
      <c r="L169" s="90">
        <f t="shared" si="180"/>
        <v>242.65332000000001</v>
      </c>
      <c r="M169" s="90">
        <v>0.7</v>
      </c>
      <c r="N169" s="90">
        <f t="shared" si="181"/>
        <v>290.3544</v>
      </c>
      <c r="O169" s="90">
        <f t="shared" si="182"/>
        <v>533.00772000000006</v>
      </c>
      <c r="P169" s="92"/>
    </row>
    <row r="170" spans="1:16" ht="16.5" thickBot="1" x14ac:dyDescent="0.3">
      <c r="A170" s="41" t="str">
        <f>IF(G170&lt;&gt;"",1+MAX($A$13:A169),"")</f>
        <v/>
      </c>
      <c r="D170" s="105"/>
      <c r="E170"/>
      <c r="I170" s="93"/>
      <c r="J170" s="94"/>
      <c r="K170" s="113"/>
      <c r="P170" s="92"/>
    </row>
    <row r="171" spans="1:16" ht="16.5" thickBot="1" x14ac:dyDescent="0.3">
      <c r="A171" s="73" t="str">
        <f>IF(G171&lt;&gt;"",1+MAX($A$13:A170),"")</f>
        <v/>
      </c>
      <c r="B171" s="69"/>
      <c r="C171" s="69" t="s">
        <v>282</v>
      </c>
      <c r="D171" s="67" t="s">
        <v>190</v>
      </c>
      <c r="E171" s="71"/>
      <c r="F171" s="72"/>
      <c r="G171" s="71"/>
      <c r="H171" s="71"/>
      <c r="I171" s="67"/>
      <c r="J171" s="67"/>
      <c r="K171" s="115"/>
      <c r="L171" s="68"/>
      <c r="M171" s="68"/>
      <c r="N171" s="68"/>
      <c r="O171" s="70"/>
      <c r="P171" s="74">
        <f>SUM(O172:O181)</f>
        <v>2139.42</v>
      </c>
    </row>
    <row r="172" spans="1:16" x14ac:dyDescent="0.25">
      <c r="A172" s="41" t="str">
        <f>IF(G172&lt;&gt;"",1+MAX($A$13:A171),"")</f>
        <v/>
      </c>
      <c r="D172"/>
      <c r="E172"/>
      <c r="I172" s="93"/>
      <c r="J172" s="94"/>
      <c r="K172" s="113"/>
      <c r="P172" s="92"/>
    </row>
    <row r="173" spans="1:16" x14ac:dyDescent="0.25">
      <c r="A173" s="41">
        <f>IF(G173&lt;&gt;"",1+MAX($A$13:A172),"")</f>
        <v>82</v>
      </c>
      <c r="C173" s="89" t="s">
        <v>282</v>
      </c>
      <c r="D173" s="96" t="s">
        <v>332</v>
      </c>
      <c r="E173" s="100">
        <v>1</v>
      </c>
      <c r="F173" s="91">
        <f>VLOOKUP(H173,'PROJECT SUMMARY'!$C$24:$D$31,2,0)</f>
        <v>0</v>
      </c>
      <c r="G173" s="95">
        <f t="shared" ref="G173:G177" si="183">E173*(1+F173)</f>
        <v>1</v>
      </c>
      <c r="H173" s="89" t="s">
        <v>9</v>
      </c>
      <c r="I173" s="93">
        <v>6.92</v>
      </c>
      <c r="J173" s="94">
        <f t="shared" ref="J173:J177" si="184">I173*G173</f>
        <v>6.92</v>
      </c>
      <c r="K173" s="114">
        <v>50</v>
      </c>
      <c r="L173" s="90">
        <f t="shared" ref="L173:L177" si="185">K173*J173</f>
        <v>346</v>
      </c>
      <c r="M173" s="90">
        <v>781</v>
      </c>
      <c r="N173" s="90">
        <f t="shared" ref="N173:N177" si="186">M173*G173</f>
        <v>781</v>
      </c>
      <c r="O173" s="90">
        <f t="shared" ref="O173:O177" si="187">L173+N173</f>
        <v>1127</v>
      </c>
      <c r="P173" s="92"/>
    </row>
    <row r="174" spans="1:16" x14ac:dyDescent="0.25">
      <c r="A174" s="41">
        <f>IF(G174&lt;&gt;"",1+MAX($A$13:A173),"")</f>
        <v>83</v>
      </c>
      <c r="C174" s="89" t="s">
        <v>282</v>
      </c>
      <c r="D174" s="96" t="s">
        <v>333</v>
      </c>
      <c r="E174" s="100">
        <v>1</v>
      </c>
      <c r="F174" s="91">
        <f>VLOOKUP(H174,'PROJECT SUMMARY'!$C$24:$D$31,2,0)</f>
        <v>0</v>
      </c>
      <c r="G174" s="95">
        <f t="shared" ref="G174" si="188">E174*(1+F174)</f>
        <v>1</v>
      </c>
      <c r="H174" s="89" t="s">
        <v>9</v>
      </c>
      <c r="I174" s="93">
        <v>2.21</v>
      </c>
      <c r="J174" s="94">
        <f t="shared" ref="J174" si="189">I174*G174</f>
        <v>2.21</v>
      </c>
      <c r="K174" s="114">
        <v>50</v>
      </c>
      <c r="L174" s="90">
        <f t="shared" ref="L174" si="190">K174*J174</f>
        <v>110.5</v>
      </c>
      <c r="M174" s="90">
        <v>256</v>
      </c>
      <c r="N174" s="90">
        <f t="shared" ref="N174" si="191">M174*G174</f>
        <v>256</v>
      </c>
      <c r="O174" s="90">
        <f t="shared" ref="O174" si="192">L174+N174</f>
        <v>366.5</v>
      </c>
      <c r="P174" s="92"/>
    </row>
    <row r="175" spans="1:16" x14ac:dyDescent="0.25">
      <c r="A175" s="41">
        <f>IF(G175&lt;&gt;"",1+MAX($A$13:A174),"")</f>
        <v>84</v>
      </c>
      <c r="C175" s="89" t="s">
        <v>282</v>
      </c>
      <c r="D175" s="96" t="s">
        <v>334</v>
      </c>
      <c r="E175" s="100">
        <v>1</v>
      </c>
      <c r="F175" s="91">
        <f>VLOOKUP(H175,'PROJECT SUMMARY'!$C$24:$D$31,2,0)</f>
        <v>0</v>
      </c>
      <c r="G175" s="95">
        <f t="shared" ref="G175" si="193">E175*(1+F175)</f>
        <v>1</v>
      </c>
      <c r="H175" s="89" t="s">
        <v>9</v>
      </c>
      <c r="I175" s="93">
        <v>2.21</v>
      </c>
      <c r="J175" s="94">
        <f t="shared" ref="J175" si="194">I175*G175</f>
        <v>2.21</v>
      </c>
      <c r="K175" s="114">
        <v>50</v>
      </c>
      <c r="L175" s="90">
        <f t="shared" ref="L175" si="195">K175*J175</f>
        <v>110.5</v>
      </c>
      <c r="M175" s="90">
        <v>256</v>
      </c>
      <c r="N175" s="90">
        <f t="shared" ref="N175" si="196">M175*G175</f>
        <v>256</v>
      </c>
      <c r="O175" s="90">
        <f t="shared" ref="O175" si="197">L175+N175</f>
        <v>366.5</v>
      </c>
      <c r="P175" s="92"/>
    </row>
    <row r="176" spans="1:16" x14ac:dyDescent="0.25">
      <c r="A176" s="41" t="str">
        <f>IF(G176&lt;&gt;"",1+MAX($A$13:A175),"")</f>
        <v/>
      </c>
      <c r="D176" s="96"/>
      <c r="E176" s="100"/>
      <c r="I176" s="93"/>
      <c r="J176" s="94"/>
      <c r="K176" s="113"/>
      <c r="P176" s="92"/>
    </row>
    <row r="177" spans="1:16" x14ac:dyDescent="0.25">
      <c r="A177" s="41">
        <f>IF(G177&lt;&gt;"",1+MAX($A$13:A176),"")</f>
        <v>85</v>
      </c>
      <c r="C177" s="89" t="s">
        <v>282</v>
      </c>
      <c r="D177" s="96" t="s">
        <v>191</v>
      </c>
      <c r="E177" s="100">
        <v>1</v>
      </c>
      <c r="F177" s="91">
        <f>VLOOKUP(H177,'PROJECT SUMMARY'!$C$24:$D$31,2,0)</f>
        <v>0</v>
      </c>
      <c r="G177" s="95">
        <f t="shared" si="183"/>
        <v>1</v>
      </c>
      <c r="H177" s="89" t="s">
        <v>9</v>
      </c>
      <c r="I177" s="93">
        <v>0.38</v>
      </c>
      <c r="J177" s="94">
        <f t="shared" si="184"/>
        <v>0.38</v>
      </c>
      <c r="K177" s="114">
        <v>50</v>
      </c>
      <c r="L177" s="90">
        <f t="shared" si="185"/>
        <v>19</v>
      </c>
      <c r="M177" s="90">
        <v>31.95</v>
      </c>
      <c r="N177" s="90">
        <f t="shared" si="186"/>
        <v>31.95</v>
      </c>
      <c r="O177" s="90">
        <f t="shared" si="187"/>
        <v>50.95</v>
      </c>
      <c r="P177" s="92"/>
    </row>
    <row r="178" spans="1:16" x14ac:dyDescent="0.25">
      <c r="A178" s="41">
        <f>IF(G178&lt;&gt;"",1+MAX($A$13:A177),"")</f>
        <v>86</v>
      </c>
      <c r="C178" s="89" t="s">
        <v>282</v>
      </c>
      <c r="D178" s="96" t="s">
        <v>192</v>
      </c>
      <c r="E178" s="100">
        <v>1</v>
      </c>
      <c r="F178" s="91">
        <f>VLOOKUP(H178,'PROJECT SUMMARY'!$C$24:$D$31,2,0)</f>
        <v>0</v>
      </c>
      <c r="G178" s="95">
        <f t="shared" ref="G178:G180" si="198">E178*(1+F178)</f>
        <v>1</v>
      </c>
      <c r="H178" s="89" t="s">
        <v>9</v>
      </c>
      <c r="I178" s="93">
        <v>0.52</v>
      </c>
      <c r="J178" s="94">
        <f t="shared" ref="J178:J180" si="199">I178*G178</f>
        <v>0.52</v>
      </c>
      <c r="K178" s="114">
        <v>50</v>
      </c>
      <c r="L178" s="90">
        <f t="shared" ref="L178:L180" si="200">K178*J178</f>
        <v>26</v>
      </c>
      <c r="M178" s="90">
        <v>42.16</v>
      </c>
      <c r="N178" s="90">
        <f t="shared" ref="N178:N180" si="201">M178*G178</f>
        <v>42.16</v>
      </c>
      <c r="O178" s="90">
        <f t="shared" ref="O178:O180" si="202">L178+N178</f>
        <v>68.16</v>
      </c>
      <c r="P178" s="92"/>
    </row>
    <row r="179" spans="1:16" x14ac:dyDescent="0.25">
      <c r="A179" s="41">
        <f>IF(G179&lt;&gt;"",1+MAX($A$13:A178),"")</f>
        <v>87</v>
      </c>
      <c r="C179" s="89" t="s">
        <v>282</v>
      </c>
      <c r="D179" s="96" t="s">
        <v>193</v>
      </c>
      <c r="E179" s="100">
        <v>1</v>
      </c>
      <c r="F179" s="91">
        <f>VLOOKUP(H179,'PROJECT SUMMARY'!$C$24:$D$31,2,0)</f>
        <v>0</v>
      </c>
      <c r="G179" s="95">
        <f t="shared" si="198"/>
        <v>1</v>
      </c>
      <c r="H179" s="89" t="s">
        <v>9</v>
      </c>
      <c r="I179" s="93">
        <v>0.65</v>
      </c>
      <c r="J179" s="94">
        <f t="shared" si="199"/>
        <v>0.65</v>
      </c>
      <c r="K179" s="114">
        <v>50</v>
      </c>
      <c r="L179" s="90">
        <f t="shared" si="200"/>
        <v>32.5</v>
      </c>
      <c r="M179" s="90">
        <v>38.700000000000003</v>
      </c>
      <c r="N179" s="90">
        <f t="shared" si="201"/>
        <v>38.700000000000003</v>
      </c>
      <c r="O179" s="90">
        <f t="shared" si="202"/>
        <v>71.2</v>
      </c>
      <c r="P179" s="92"/>
    </row>
    <row r="180" spans="1:16" x14ac:dyDescent="0.25">
      <c r="A180" s="41">
        <f>IF(G180&lt;&gt;"",1+MAX($A$13:A179),"")</f>
        <v>88</v>
      </c>
      <c r="C180" s="89" t="s">
        <v>282</v>
      </c>
      <c r="D180" s="96" t="s">
        <v>194</v>
      </c>
      <c r="E180" s="100">
        <v>1</v>
      </c>
      <c r="F180" s="91">
        <f>VLOOKUP(H180,'PROJECT SUMMARY'!$C$24:$D$31,2,0)</f>
        <v>0</v>
      </c>
      <c r="G180" s="95">
        <f t="shared" si="198"/>
        <v>1</v>
      </c>
      <c r="H180" s="89" t="s">
        <v>9</v>
      </c>
      <c r="I180" s="93">
        <v>0.74</v>
      </c>
      <c r="J180" s="94">
        <f t="shared" si="199"/>
        <v>0.74</v>
      </c>
      <c r="K180" s="114">
        <v>50</v>
      </c>
      <c r="L180" s="90">
        <f t="shared" si="200"/>
        <v>37</v>
      </c>
      <c r="M180" s="90">
        <v>52.11</v>
      </c>
      <c r="N180" s="90">
        <f t="shared" si="201"/>
        <v>52.11</v>
      </c>
      <c r="O180" s="90">
        <f t="shared" si="202"/>
        <v>89.11</v>
      </c>
      <c r="P180" s="92"/>
    </row>
    <row r="181" spans="1:16" ht="16.5" thickBot="1" x14ac:dyDescent="0.3">
      <c r="A181" s="41" t="str">
        <f>IF(G181&lt;&gt;"",1+MAX($A$13:A180),"")</f>
        <v/>
      </c>
      <c r="D181" s="105"/>
      <c r="E181"/>
      <c r="I181" s="93"/>
      <c r="J181" s="94"/>
      <c r="K181" s="113"/>
      <c r="P181" s="92"/>
    </row>
    <row r="182" spans="1:16" ht="16.5" thickBot="1" x14ac:dyDescent="0.3">
      <c r="A182" s="73" t="str">
        <f>IF(G182&lt;&gt;"",1+MAX($A$13:A181),"")</f>
        <v/>
      </c>
      <c r="B182" s="69"/>
      <c r="C182" s="69" t="s">
        <v>284</v>
      </c>
      <c r="D182" s="67" t="s">
        <v>283</v>
      </c>
      <c r="E182" s="71"/>
      <c r="F182" s="72"/>
      <c r="G182" s="71"/>
      <c r="H182" s="71"/>
      <c r="I182" s="67"/>
      <c r="J182" s="67"/>
      <c r="K182" s="115"/>
      <c r="L182" s="68"/>
      <c r="M182" s="68"/>
      <c r="N182" s="68"/>
      <c r="O182" s="70"/>
      <c r="P182" s="74">
        <f>SUM(O183:O188)</f>
        <v>4279.83</v>
      </c>
    </row>
    <row r="183" spans="1:16" x14ac:dyDescent="0.25">
      <c r="A183" s="41" t="str">
        <f>IF(G183&lt;&gt;"",1+MAX($A$13:A182),"")</f>
        <v/>
      </c>
      <c r="D183"/>
      <c r="E183"/>
      <c r="I183" s="93"/>
      <c r="J183" s="94"/>
      <c r="K183" s="113"/>
      <c r="P183" s="92"/>
    </row>
    <row r="184" spans="1:16" x14ac:dyDescent="0.25">
      <c r="A184" s="41">
        <f>IF(G184&lt;&gt;"",1+MAX($A$13:A183),"")</f>
        <v>89</v>
      </c>
      <c r="C184" s="89" t="s">
        <v>284</v>
      </c>
      <c r="D184" s="96" t="s">
        <v>350</v>
      </c>
      <c r="E184" s="100">
        <v>1</v>
      </c>
      <c r="F184" s="91">
        <f>VLOOKUP(H184,'PROJECT SUMMARY'!$C$24:$D$31,2,0)</f>
        <v>0</v>
      </c>
      <c r="G184" s="95">
        <f t="shared" ref="G184:G187" si="203">E184*(1+F184)</f>
        <v>1</v>
      </c>
      <c r="H184" s="89" t="s">
        <v>9</v>
      </c>
      <c r="I184" s="93">
        <v>5.2</v>
      </c>
      <c r="J184" s="94">
        <f t="shared" ref="J184" si="204">I184*G184</f>
        <v>5.2</v>
      </c>
      <c r="K184" s="113">
        <v>50</v>
      </c>
      <c r="L184" s="90">
        <f t="shared" ref="L184" si="205">K184*J184</f>
        <v>260</v>
      </c>
      <c r="M184" s="90">
        <v>1296.33</v>
      </c>
      <c r="N184" s="90">
        <f t="shared" ref="N184" si="206">M184*G184</f>
        <v>1296.33</v>
      </c>
      <c r="O184" s="90">
        <f t="shared" ref="O184:O187" si="207">L184+N184</f>
        <v>1556.33</v>
      </c>
      <c r="P184" s="92"/>
    </row>
    <row r="185" spans="1:16" x14ac:dyDescent="0.25">
      <c r="A185" s="41">
        <f>IF(G185&lt;&gt;"",1+MAX($A$13:A184),"")</f>
        <v>90</v>
      </c>
      <c r="C185" s="89" t="s">
        <v>284</v>
      </c>
      <c r="D185" s="96" t="s">
        <v>351</v>
      </c>
      <c r="E185" s="100">
        <v>1</v>
      </c>
      <c r="F185" s="91">
        <f>VLOOKUP(H185,'PROJECT SUMMARY'!$C$24:$D$31,2,0)</f>
        <v>0</v>
      </c>
      <c r="G185" s="95">
        <f t="shared" si="203"/>
        <v>1</v>
      </c>
      <c r="H185" s="89" t="s">
        <v>9</v>
      </c>
      <c r="I185" s="93">
        <v>3.92</v>
      </c>
      <c r="J185" s="94">
        <f t="shared" ref="J185:J187" si="208">I185*G185</f>
        <v>3.92</v>
      </c>
      <c r="K185" s="114">
        <v>50</v>
      </c>
      <c r="L185" s="90">
        <f t="shared" ref="L185:L187" si="209">K185*J185</f>
        <v>196</v>
      </c>
      <c r="M185" s="90">
        <v>661</v>
      </c>
      <c r="N185" s="90">
        <f t="shared" ref="N185:N187" si="210">M185*G185</f>
        <v>661</v>
      </c>
      <c r="O185" s="90">
        <f t="shared" si="207"/>
        <v>857</v>
      </c>
      <c r="P185" s="92"/>
    </row>
    <row r="186" spans="1:16" x14ac:dyDescent="0.25">
      <c r="A186" s="41">
        <f>IF(G186&lt;&gt;"",1+MAX($A$13:A185),"")</f>
        <v>91</v>
      </c>
      <c r="C186" s="89" t="s">
        <v>284</v>
      </c>
      <c r="D186" s="96" t="s">
        <v>352</v>
      </c>
      <c r="E186" s="100">
        <v>1</v>
      </c>
      <c r="F186" s="91">
        <f>VLOOKUP(H186,'PROJECT SUMMARY'!$C$24:$D$31,2,0)</f>
        <v>0</v>
      </c>
      <c r="G186" s="95">
        <f t="shared" si="203"/>
        <v>1</v>
      </c>
      <c r="H186" s="89" t="s">
        <v>9</v>
      </c>
      <c r="I186" s="93">
        <v>5.15</v>
      </c>
      <c r="J186" s="94">
        <f t="shared" si="208"/>
        <v>5.15</v>
      </c>
      <c r="K186" s="114">
        <v>50</v>
      </c>
      <c r="L186" s="90">
        <f t="shared" si="209"/>
        <v>257.5</v>
      </c>
      <c r="M186" s="90">
        <v>765</v>
      </c>
      <c r="N186" s="90">
        <f t="shared" si="210"/>
        <v>765</v>
      </c>
      <c r="O186" s="90">
        <f t="shared" si="207"/>
        <v>1022.5</v>
      </c>
      <c r="P186" s="92"/>
    </row>
    <row r="187" spans="1:16" x14ac:dyDescent="0.25">
      <c r="A187" s="41">
        <f>IF(G187&lt;&gt;"",1+MAX($A$13:A186),"")</f>
        <v>92</v>
      </c>
      <c r="C187" s="89" t="s">
        <v>284</v>
      </c>
      <c r="D187" s="96" t="s">
        <v>353</v>
      </c>
      <c r="E187" s="100">
        <v>1</v>
      </c>
      <c r="F187" s="91">
        <f>VLOOKUP(H187,'PROJECT SUMMARY'!$C$24:$D$31,2,0)</f>
        <v>0</v>
      </c>
      <c r="G187" s="95">
        <f t="shared" si="203"/>
        <v>1</v>
      </c>
      <c r="H187" s="89" t="s">
        <v>9</v>
      </c>
      <c r="I187" s="93">
        <v>3.4</v>
      </c>
      <c r="J187" s="94">
        <f t="shared" si="208"/>
        <v>3.4</v>
      </c>
      <c r="K187" s="114">
        <v>55</v>
      </c>
      <c r="L187" s="90">
        <f t="shared" si="209"/>
        <v>187</v>
      </c>
      <c r="M187" s="90">
        <v>657</v>
      </c>
      <c r="N187" s="90">
        <f t="shared" si="210"/>
        <v>657</v>
      </c>
      <c r="O187" s="90">
        <f t="shared" si="207"/>
        <v>844</v>
      </c>
      <c r="P187" s="92"/>
    </row>
    <row r="188" spans="1:16" ht="16.5" thickBot="1" x14ac:dyDescent="0.3">
      <c r="A188" s="41" t="str">
        <f>IF(G188&lt;&gt;"",1+MAX($A$13:A187),"")</f>
        <v/>
      </c>
      <c r="D188" s="105"/>
      <c r="E188"/>
      <c r="I188" s="93"/>
      <c r="J188" s="94"/>
      <c r="K188" s="113"/>
      <c r="P188" s="92"/>
    </row>
    <row r="189" spans="1:16" ht="16.5" thickBot="1" x14ac:dyDescent="0.3">
      <c r="A189" s="73" t="str">
        <f>IF(G189&lt;&gt;"",1+MAX($A$13:A188),"")</f>
        <v/>
      </c>
      <c r="B189" s="69"/>
      <c r="C189" s="69" t="s">
        <v>285</v>
      </c>
      <c r="D189" s="67" t="s">
        <v>201</v>
      </c>
      <c r="E189" s="71"/>
      <c r="F189" s="72"/>
      <c r="G189" s="71"/>
      <c r="H189" s="71"/>
      <c r="I189" s="67"/>
      <c r="J189" s="67"/>
      <c r="K189" s="115"/>
      <c r="L189" s="68"/>
      <c r="M189" s="68"/>
      <c r="N189" s="68"/>
      <c r="O189" s="70"/>
      <c r="P189" s="74">
        <f>SUM(O190:O206)</f>
        <v>7610.093820000001</v>
      </c>
    </row>
    <row r="190" spans="1:16" x14ac:dyDescent="0.25">
      <c r="A190" s="41" t="str">
        <f>IF(G190&lt;&gt;"",1+MAX($A$13:A189),"")</f>
        <v/>
      </c>
      <c r="D190"/>
      <c r="E190"/>
      <c r="I190" s="93"/>
      <c r="J190" s="94"/>
      <c r="K190" s="113"/>
      <c r="P190" s="92"/>
    </row>
    <row r="191" spans="1:16" x14ac:dyDescent="0.25">
      <c r="A191" s="41">
        <f>IF(G191&lt;&gt;"",1+MAX($A$13:A190),"")</f>
        <v>93</v>
      </c>
      <c r="C191" s="89" t="s">
        <v>285</v>
      </c>
      <c r="D191" s="96" t="s">
        <v>202</v>
      </c>
      <c r="E191" s="100">
        <v>23.46</v>
      </c>
      <c r="F191" s="91">
        <f>VLOOKUP(H191,'PROJECT SUMMARY'!$C$24:$D$31,2,0)</f>
        <v>0.05</v>
      </c>
      <c r="G191" s="95">
        <f t="shared" ref="G191" si="211">E191*(1+F191)</f>
        <v>24.633000000000003</v>
      </c>
      <c r="H191" s="89" t="s">
        <v>11</v>
      </c>
      <c r="I191" s="93">
        <v>0.3</v>
      </c>
      <c r="J191" s="94">
        <f t="shared" ref="J191" si="212">I191*G191</f>
        <v>7.3899000000000008</v>
      </c>
      <c r="K191" s="114">
        <v>50</v>
      </c>
      <c r="L191" s="90">
        <f t="shared" ref="L191" si="213">K191*J191</f>
        <v>369.49500000000006</v>
      </c>
      <c r="M191" s="90">
        <v>65.12</v>
      </c>
      <c r="N191" s="90">
        <f t="shared" ref="N191" si="214">M191*G191</f>
        <v>1604.1009600000002</v>
      </c>
      <c r="O191" s="90">
        <f t="shared" ref="O191" si="215">L191+N191</f>
        <v>1973.5959600000003</v>
      </c>
      <c r="P191" s="92"/>
    </row>
    <row r="192" spans="1:16" x14ac:dyDescent="0.25">
      <c r="A192" s="41" t="str">
        <f>IF(G192&lt;&gt;"",1+MAX($A$13:A191),"")</f>
        <v/>
      </c>
      <c r="D192" s="96"/>
      <c r="E192" s="100"/>
      <c r="I192" s="93"/>
      <c r="J192" s="94"/>
      <c r="K192" s="113"/>
      <c r="P192" s="92"/>
    </row>
    <row r="193" spans="1:16" x14ac:dyDescent="0.25">
      <c r="A193" s="41">
        <f>IF(G193&lt;&gt;"",1+MAX($A$13:A192),"")</f>
        <v>94</v>
      </c>
      <c r="C193" s="89" t="s">
        <v>285</v>
      </c>
      <c r="D193" s="96" t="s">
        <v>204</v>
      </c>
      <c r="E193" s="100">
        <v>11.73</v>
      </c>
      <c r="F193" s="91">
        <f>VLOOKUP(H193,'PROJECT SUMMARY'!$C$24:$D$31,2,0)</f>
        <v>0.05</v>
      </c>
      <c r="G193" s="95">
        <f t="shared" ref="G193:G205" si="216">E193*(1+F193)</f>
        <v>12.316500000000001</v>
      </c>
      <c r="H193" s="89" t="s">
        <v>10</v>
      </c>
      <c r="I193" s="93">
        <v>6.8000000000000005E-2</v>
      </c>
      <c r="J193" s="94">
        <f t="shared" ref="J193:J205" si="217">I193*G193</f>
        <v>0.8375220000000001</v>
      </c>
      <c r="K193" s="114">
        <v>50</v>
      </c>
      <c r="L193" s="90">
        <f t="shared" ref="L193:L205" si="218">K193*J193</f>
        <v>41.876100000000008</v>
      </c>
      <c r="M193" s="90">
        <v>12.12</v>
      </c>
      <c r="N193" s="90">
        <f t="shared" ref="N193:N205" si="219">M193*G193</f>
        <v>149.27598</v>
      </c>
      <c r="O193" s="90">
        <f t="shared" ref="O193:O205" si="220">L193+N193</f>
        <v>191.15208000000001</v>
      </c>
      <c r="P193" s="92"/>
    </row>
    <row r="194" spans="1:16" x14ac:dyDescent="0.25">
      <c r="A194" s="41" t="str">
        <f>IF(G194&lt;&gt;"",1+MAX($A$13:A193),"")</f>
        <v/>
      </c>
      <c r="D194" s="96"/>
      <c r="E194" s="100"/>
      <c r="I194" s="93"/>
      <c r="J194" s="94"/>
      <c r="K194" s="113"/>
      <c r="P194" s="92"/>
    </row>
    <row r="195" spans="1:16" x14ac:dyDescent="0.25">
      <c r="A195" s="41">
        <f>IF(G195&lt;&gt;"",1+MAX($A$13:A194),"")</f>
        <v>95</v>
      </c>
      <c r="C195" s="89" t="s">
        <v>285</v>
      </c>
      <c r="D195" s="96" t="s">
        <v>341</v>
      </c>
      <c r="E195" s="100">
        <v>4.4400000000000004</v>
      </c>
      <c r="F195" s="91">
        <f>VLOOKUP(H195,'PROJECT SUMMARY'!$C$24:$D$31,2,0)</f>
        <v>0.05</v>
      </c>
      <c r="G195" s="95">
        <f t="shared" si="216"/>
        <v>4.6620000000000008</v>
      </c>
      <c r="H195" s="89" t="s">
        <v>10</v>
      </c>
      <c r="I195" s="93">
        <v>1.1000000000000001</v>
      </c>
      <c r="J195" s="94">
        <f t="shared" ref="J195:J197" si="221">I195*G195</f>
        <v>5.1282000000000014</v>
      </c>
      <c r="K195" s="113">
        <v>50</v>
      </c>
      <c r="L195" s="90">
        <f t="shared" ref="L195:L197" si="222">K195*J195</f>
        <v>256.41000000000008</v>
      </c>
      <c r="M195" s="90">
        <v>113.88</v>
      </c>
      <c r="N195" s="90">
        <f t="shared" si="219"/>
        <v>530.90856000000008</v>
      </c>
      <c r="O195" s="90">
        <f t="shared" si="220"/>
        <v>787.31856000000016</v>
      </c>
      <c r="P195" s="92"/>
    </row>
    <row r="196" spans="1:16" x14ac:dyDescent="0.25">
      <c r="A196" s="41">
        <f>IF(G196&lt;&gt;"",1+MAX($A$13:A195),"")</f>
        <v>96</v>
      </c>
      <c r="C196" s="89" t="s">
        <v>285</v>
      </c>
      <c r="D196" s="96" t="s">
        <v>342</v>
      </c>
      <c r="E196" s="100">
        <v>7.29</v>
      </c>
      <c r="F196" s="91">
        <f>VLOOKUP(H196,'PROJECT SUMMARY'!$C$24:$D$31,2,0)</f>
        <v>0.05</v>
      </c>
      <c r="G196" s="95">
        <f t="shared" si="216"/>
        <v>7.6545000000000005</v>
      </c>
      <c r="H196" s="89" t="s">
        <v>10</v>
      </c>
      <c r="I196" s="93">
        <v>1.1200000000000001</v>
      </c>
      <c r="J196" s="94">
        <f t="shared" si="221"/>
        <v>8.5730400000000007</v>
      </c>
      <c r="K196" s="113">
        <v>50</v>
      </c>
      <c r="L196" s="90">
        <f t="shared" si="222"/>
        <v>428.65200000000004</v>
      </c>
      <c r="M196" s="90">
        <v>123.2</v>
      </c>
      <c r="N196" s="90">
        <f t="shared" si="219"/>
        <v>943.03440000000012</v>
      </c>
      <c r="O196" s="90">
        <f t="shared" si="220"/>
        <v>1371.6864</v>
      </c>
      <c r="P196" s="92"/>
    </row>
    <row r="197" spans="1:16" x14ac:dyDescent="0.25">
      <c r="A197" s="41">
        <f>IF(G197&lt;&gt;"",1+MAX($A$13:A196),"")</f>
        <v>97</v>
      </c>
      <c r="C197" s="89" t="s">
        <v>285</v>
      </c>
      <c r="D197" s="96" t="s">
        <v>343</v>
      </c>
      <c r="E197" s="100">
        <v>3.95</v>
      </c>
      <c r="F197" s="91">
        <f>VLOOKUP(H197,'PROJECT SUMMARY'!$C$24:$D$31,2,0)</f>
        <v>0.05</v>
      </c>
      <c r="G197" s="95">
        <f t="shared" si="216"/>
        <v>4.1475</v>
      </c>
      <c r="H197" s="89" t="s">
        <v>10</v>
      </c>
      <c r="I197" s="93">
        <v>0.85</v>
      </c>
      <c r="J197" s="94">
        <f t="shared" si="221"/>
        <v>3.5253749999999999</v>
      </c>
      <c r="K197" s="113">
        <v>50</v>
      </c>
      <c r="L197" s="90">
        <f t="shared" si="222"/>
        <v>176.26874999999998</v>
      </c>
      <c r="M197" s="90">
        <v>106.5</v>
      </c>
      <c r="N197" s="90">
        <f t="shared" si="219"/>
        <v>441.70875000000001</v>
      </c>
      <c r="O197" s="90">
        <f t="shared" si="220"/>
        <v>617.97749999999996</v>
      </c>
      <c r="P197" s="92"/>
    </row>
    <row r="198" spans="1:16" x14ac:dyDescent="0.25">
      <c r="A198" s="41">
        <f>IF(G198&lt;&gt;"",1+MAX($A$13:A197),"")</f>
        <v>98</v>
      </c>
      <c r="C198" s="89" t="s">
        <v>285</v>
      </c>
      <c r="D198" s="96" t="s">
        <v>344</v>
      </c>
      <c r="E198" s="100">
        <v>2</v>
      </c>
      <c r="F198" s="91">
        <f>VLOOKUP(H198,'PROJECT SUMMARY'!$C$24:$D$31,2,0)</f>
        <v>0.05</v>
      </c>
      <c r="G198" s="95">
        <f t="shared" si="216"/>
        <v>2.1</v>
      </c>
      <c r="H198" s="89" t="s">
        <v>10</v>
      </c>
      <c r="I198" s="93">
        <v>0.85</v>
      </c>
      <c r="J198" s="94">
        <f t="shared" si="217"/>
        <v>1.7849999999999999</v>
      </c>
      <c r="K198" s="113">
        <v>50</v>
      </c>
      <c r="L198" s="90">
        <f t="shared" si="218"/>
        <v>89.25</v>
      </c>
      <c r="M198" s="90">
        <v>106.5</v>
      </c>
      <c r="N198" s="90">
        <f t="shared" si="219"/>
        <v>223.65</v>
      </c>
      <c r="O198" s="90">
        <f t="shared" si="220"/>
        <v>312.89999999999998</v>
      </c>
      <c r="P198" s="92"/>
    </row>
    <row r="199" spans="1:16" x14ac:dyDescent="0.25">
      <c r="A199" s="41" t="str">
        <f>IF(G199&lt;&gt;"",1+MAX($A$13:A198),"")</f>
        <v/>
      </c>
      <c r="D199" s="96"/>
      <c r="E199" s="100"/>
      <c r="I199" s="93"/>
      <c r="J199" s="94"/>
      <c r="K199" s="113"/>
      <c r="P199" s="92"/>
    </row>
    <row r="200" spans="1:16" x14ac:dyDescent="0.25">
      <c r="A200" s="41">
        <f>IF(G200&lt;&gt;"",1+MAX($A$13:A199),"")</f>
        <v>99</v>
      </c>
      <c r="C200" s="89" t="s">
        <v>285</v>
      </c>
      <c r="D200" s="96" t="s">
        <v>345</v>
      </c>
      <c r="E200" s="100">
        <v>4.71</v>
      </c>
      <c r="F200" s="91">
        <f>VLOOKUP(H200,'PROJECT SUMMARY'!$C$24:$D$31,2,0)</f>
        <v>0.05</v>
      </c>
      <c r="G200" s="95">
        <f t="shared" si="216"/>
        <v>4.9455</v>
      </c>
      <c r="H200" s="89" t="s">
        <v>10</v>
      </c>
      <c r="I200" s="93">
        <v>0.52</v>
      </c>
      <c r="J200" s="94">
        <f t="shared" si="217"/>
        <v>2.5716600000000001</v>
      </c>
      <c r="K200" s="114">
        <v>50</v>
      </c>
      <c r="L200" s="90">
        <f t="shared" si="218"/>
        <v>128.583</v>
      </c>
      <c r="M200" s="90">
        <v>70.33</v>
      </c>
      <c r="N200" s="90">
        <f t="shared" si="219"/>
        <v>347.81701499999997</v>
      </c>
      <c r="O200" s="90">
        <f t="shared" si="220"/>
        <v>476.40001499999994</v>
      </c>
      <c r="P200" s="92"/>
    </row>
    <row r="201" spans="1:16" x14ac:dyDescent="0.25">
      <c r="A201" s="41">
        <f>IF(G201&lt;&gt;"",1+MAX($A$13:A200),"")</f>
        <v>100</v>
      </c>
      <c r="C201" s="89" t="s">
        <v>285</v>
      </c>
      <c r="D201" s="96" t="s">
        <v>346</v>
      </c>
      <c r="E201" s="100">
        <v>9.61</v>
      </c>
      <c r="F201" s="91">
        <f>VLOOKUP(H201,'PROJECT SUMMARY'!$C$24:$D$31,2,0)</f>
        <v>0.05</v>
      </c>
      <c r="G201" s="95">
        <f>E201*(1+F201)</f>
        <v>10.0905</v>
      </c>
      <c r="H201" s="89" t="s">
        <v>10</v>
      </c>
      <c r="I201" s="93">
        <v>0.35</v>
      </c>
      <c r="J201" s="94">
        <f>I201*G201</f>
        <v>3.5316749999999999</v>
      </c>
      <c r="K201" s="114">
        <v>50</v>
      </c>
      <c r="L201" s="90">
        <f>K201*J201</f>
        <v>176.58375000000001</v>
      </c>
      <c r="M201" s="90">
        <v>41.25</v>
      </c>
      <c r="N201" s="90">
        <f>M201*G201</f>
        <v>416.23312500000003</v>
      </c>
      <c r="O201" s="90">
        <f>L201+N201</f>
        <v>592.81687499999998</v>
      </c>
      <c r="P201" s="92"/>
    </row>
    <row r="202" spans="1:16" x14ac:dyDescent="0.25">
      <c r="A202" s="41" t="str">
        <f>IF(G202&lt;&gt;"",1+MAX($A$13:A201),"")</f>
        <v/>
      </c>
      <c r="D202" s="96"/>
      <c r="E202" s="100"/>
      <c r="I202" s="93"/>
      <c r="J202" s="94"/>
      <c r="K202" s="113"/>
      <c r="P202" s="92"/>
    </row>
    <row r="203" spans="1:16" x14ac:dyDescent="0.25">
      <c r="A203" s="41">
        <f>IF(G203&lt;&gt;"",1+MAX($A$13:A202),"")</f>
        <v>101</v>
      </c>
      <c r="C203" s="89" t="s">
        <v>285</v>
      </c>
      <c r="D203" s="96" t="s">
        <v>349</v>
      </c>
      <c r="E203" s="100">
        <v>7</v>
      </c>
      <c r="F203" s="91">
        <f>VLOOKUP(H203,'PROJECT SUMMARY'!$C$24:$D$31,2,0)</f>
        <v>0.05</v>
      </c>
      <c r="G203" s="95">
        <f>E203*(1+F203)</f>
        <v>7.3500000000000005</v>
      </c>
      <c r="H203" s="89" t="s">
        <v>10</v>
      </c>
      <c r="I203" s="93">
        <v>0.3</v>
      </c>
      <c r="J203" s="94">
        <f>I203*G203</f>
        <v>2.2050000000000001</v>
      </c>
      <c r="K203" s="114">
        <v>50</v>
      </c>
      <c r="L203" s="90">
        <f>K203*J203</f>
        <v>110.25</v>
      </c>
      <c r="M203" s="90">
        <v>33.880000000000003</v>
      </c>
      <c r="N203" s="90">
        <f>M203*G203</f>
        <v>249.01800000000003</v>
      </c>
      <c r="O203" s="90">
        <f>L203+N203</f>
        <v>359.26800000000003</v>
      </c>
      <c r="P203" s="92"/>
    </row>
    <row r="204" spans="1:16" x14ac:dyDescent="0.25">
      <c r="A204" s="41">
        <f>IF(G204&lt;&gt;"",1+MAX($A$13:A203),"")</f>
        <v>102</v>
      </c>
      <c r="C204" s="89" t="s">
        <v>285</v>
      </c>
      <c r="D204" s="96" t="s">
        <v>347</v>
      </c>
      <c r="E204" s="100">
        <v>9.16</v>
      </c>
      <c r="F204" s="91">
        <f>VLOOKUP(H204,'PROJECT SUMMARY'!$C$24:$D$31,2,0)</f>
        <v>0.05</v>
      </c>
      <c r="G204" s="95">
        <f t="shared" si="216"/>
        <v>9.6180000000000003</v>
      </c>
      <c r="H204" s="89" t="s">
        <v>10</v>
      </c>
      <c r="I204" s="93">
        <v>0.3</v>
      </c>
      <c r="J204" s="94">
        <f t="shared" si="217"/>
        <v>2.8854000000000002</v>
      </c>
      <c r="K204" s="114">
        <v>50</v>
      </c>
      <c r="L204" s="90">
        <f t="shared" si="218"/>
        <v>144.27000000000001</v>
      </c>
      <c r="M204" s="90">
        <v>39.51</v>
      </c>
      <c r="N204" s="90">
        <f t="shared" si="219"/>
        <v>380.00718000000001</v>
      </c>
      <c r="O204" s="90">
        <f t="shared" si="220"/>
        <v>524.27718000000004</v>
      </c>
      <c r="P204" s="92"/>
    </row>
    <row r="205" spans="1:16" x14ac:dyDescent="0.25">
      <c r="A205" s="41">
        <f>IF(G205&lt;&gt;"",1+MAX($A$13:A204),"")</f>
        <v>103</v>
      </c>
      <c r="C205" s="89" t="s">
        <v>285</v>
      </c>
      <c r="D205" s="96" t="s">
        <v>348</v>
      </c>
      <c r="E205" s="100">
        <v>6.67</v>
      </c>
      <c r="F205" s="91">
        <f>VLOOKUP(H205,'PROJECT SUMMARY'!$C$24:$D$31,2,0)</f>
        <v>0.05</v>
      </c>
      <c r="G205" s="95">
        <f t="shared" si="216"/>
        <v>7.0034999999999998</v>
      </c>
      <c r="H205" s="89" t="s">
        <v>10</v>
      </c>
      <c r="I205" s="93">
        <v>0.3</v>
      </c>
      <c r="J205" s="94">
        <f t="shared" si="217"/>
        <v>2.1010499999999999</v>
      </c>
      <c r="K205" s="114">
        <v>50</v>
      </c>
      <c r="L205" s="90">
        <f t="shared" si="218"/>
        <v>105.05249999999999</v>
      </c>
      <c r="M205" s="90">
        <v>42.5</v>
      </c>
      <c r="N205" s="90">
        <f t="shared" si="219"/>
        <v>297.64875000000001</v>
      </c>
      <c r="O205" s="90">
        <f t="shared" si="220"/>
        <v>402.70125000000002</v>
      </c>
      <c r="P205" s="92"/>
    </row>
    <row r="206" spans="1:16" ht="16.5" thickBot="1" x14ac:dyDescent="0.3">
      <c r="A206" s="41" t="str">
        <f>IF(G206&lt;&gt;"",1+MAX($A$13:A205),"")</f>
        <v/>
      </c>
      <c r="D206" s="105"/>
      <c r="E206"/>
      <c r="I206" s="93"/>
      <c r="J206" s="94"/>
      <c r="K206" s="113"/>
      <c r="P206" s="92"/>
    </row>
    <row r="207" spans="1:16" ht="16.5" thickBot="1" x14ac:dyDescent="0.3">
      <c r="A207" s="73" t="str">
        <f>IF(G207&lt;&gt;"",1+MAX($A$13:A206),"")</f>
        <v/>
      </c>
      <c r="B207" s="69"/>
      <c r="C207" s="69" t="s">
        <v>286</v>
      </c>
      <c r="D207" s="67" t="s">
        <v>224</v>
      </c>
      <c r="E207" s="71"/>
      <c r="F207" s="72"/>
      <c r="G207" s="71"/>
      <c r="H207" s="71"/>
      <c r="I207" s="67"/>
      <c r="J207" s="67"/>
      <c r="K207" s="115"/>
      <c r="L207" s="68"/>
      <c r="M207" s="68"/>
      <c r="N207" s="68"/>
      <c r="O207" s="70"/>
      <c r="P207" s="74">
        <f>SUM(O208:O217)</f>
        <v>15475.110932499998</v>
      </c>
    </row>
    <row r="208" spans="1:16" x14ac:dyDescent="0.25">
      <c r="A208" s="41" t="str">
        <f>IF(G208&lt;&gt;"",1+MAX($A$13:A207),"")</f>
        <v/>
      </c>
      <c r="D208"/>
      <c r="E208"/>
      <c r="I208" s="93"/>
      <c r="J208" s="94"/>
      <c r="K208" s="113"/>
      <c r="P208" s="92"/>
    </row>
    <row r="209" spans="1:16" x14ac:dyDescent="0.25">
      <c r="A209" s="41">
        <f>IF(G209&lt;&gt;"",1+MAX($A$13:A208),"")</f>
        <v>104</v>
      </c>
      <c r="C209" s="89" t="s">
        <v>286</v>
      </c>
      <c r="D209" s="96" t="s">
        <v>331</v>
      </c>
      <c r="E209" s="100">
        <v>1</v>
      </c>
      <c r="F209" s="91">
        <f>VLOOKUP(H209,'PROJECT SUMMARY'!$C$24:$D$31,2,0)</f>
        <v>0</v>
      </c>
      <c r="G209" s="95">
        <f t="shared" ref="G209:G214" si="223">E209*(1+F209)</f>
        <v>1</v>
      </c>
      <c r="H209" s="89" t="s">
        <v>9</v>
      </c>
      <c r="I209" s="93">
        <v>6.22</v>
      </c>
      <c r="J209" s="94">
        <f t="shared" ref="J209:J210" si="224">I209*G209</f>
        <v>6.22</v>
      </c>
      <c r="K209" s="113">
        <v>79</v>
      </c>
      <c r="L209" s="90">
        <f t="shared" ref="L209:L210" si="225">K209*J209</f>
        <v>491.38</v>
      </c>
      <c r="M209" s="90">
        <v>966</v>
      </c>
      <c r="N209" s="90">
        <f t="shared" ref="N209:N214" si="226">M209*G209</f>
        <v>966</v>
      </c>
      <c r="O209" s="90">
        <f t="shared" ref="O209:O214" si="227">L209+N209</f>
        <v>1457.38</v>
      </c>
      <c r="P209" s="92"/>
    </row>
    <row r="210" spans="1:16" x14ac:dyDescent="0.25">
      <c r="A210" s="41">
        <f>IF(G210&lt;&gt;"",1+MAX($A$13:A209),"")</f>
        <v>105</v>
      </c>
      <c r="C210" s="89" t="s">
        <v>286</v>
      </c>
      <c r="D210" s="96" t="s">
        <v>335</v>
      </c>
      <c r="E210" s="100">
        <v>2</v>
      </c>
      <c r="F210" s="91">
        <f>VLOOKUP(H210,'PROJECT SUMMARY'!$C$24:$D$31,2,0)</f>
        <v>0</v>
      </c>
      <c r="G210" s="95">
        <f t="shared" si="223"/>
        <v>2</v>
      </c>
      <c r="H210" s="89" t="s">
        <v>9</v>
      </c>
      <c r="I210" s="93">
        <v>4.25</v>
      </c>
      <c r="J210" s="94">
        <f t="shared" si="224"/>
        <v>8.5</v>
      </c>
      <c r="K210" s="113">
        <v>79</v>
      </c>
      <c r="L210" s="90">
        <f t="shared" si="225"/>
        <v>671.5</v>
      </c>
      <c r="M210" s="90">
        <v>502.5</v>
      </c>
      <c r="N210" s="90">
        <f t="shared" si="226"/>
        <v>1005</v>
      </c>
      <c r="O210" s="90">
        <f t="shared" si="227"/>
        <v>1676.5</v>
      </c>
      <c r="P210" s="92"/>
    </row>
    <row r="211" spans="1:16" x14ac:dyDescent="0.25">
      <c r="A211" s="41">
        <f>IF(G211&lt;&gt;"",1+MAX($A$13:A210),"")</f>
        <v>106</v>
      </c>
      <c r="C211" s="89" t="s">
        <v>286</v>
      </c>
      <c r="D211" s="96" t="s">
        <v>336</v>
      </c>
      <c r="E211" s="100">
        <v>1</v>
      </c>
      <c r="F211" s="91">
        <f>VLOOKUP(H211,'PROJECT SUMMARY'!$C$24:$D$31,2,0)</f>
        <v>0</v>
      </c>
      <c r="G211" s="95">
        <f t="shared" si="223"/>
        <v>1</v>
      </c>
      <c r="H211" s="89" t="s">
        <v>9</v>
      </c>
      <c r="I211" s="93">
        <v>4.0999999999999996</v>
      </c>
      <c r="J211" s="94">
        <f t="shared" ref="J211:J214" si="228">I211*G211</f>
        <v>4.0999999999999996</v>
      </c>
      <c r="K211" s="114">
        <v>79</v>
      </c>
      <c r="L211" s="90">
        <f t="shared" ref="L211:L214" si="229">K211*J211</f>
        <v>323.89999999999998</v>
      </c>
      <c r="M211" s="90">
        <v>485</v>
      </c>
      <c r="N211" s="90">
        <f t="shared" si="226"/>
        <v>485</v>
      </c>
      <c r="O211" s="90">
        <f t="shared" si="227"/>
        <v>808.9</v>
      </c>
      <c r="P211" s="92"/>
    </row>
    <row r="212" spans="1:16" x14ac:dyDescent="0.25">
      <c r="A212" s="41">
        <f>IF(G212&lt;&gt;"",1+MAX($A$13:A211),"")</f>
        <v>107</v>
      </c>
      <c r="C212" s="89" t="s">
        <v>286</v>
      </c>
      <c r="D212" s="96" t="s">
        <v>337</v>
      </c>
      <c r="E212" s="100">
        <v>1</v>
      </c>
      <c r="F212" s="91">
        <f>VLOOKUP(H212,'PROJECT SUMMARY'!$C$24:$D$31,2,0)</f>
        <v>0</v>
      </c>
      <c r="G212" s="95">
        <f t="shared" si="223"/>
        <v>1</v>
      </c>
      <c r="H212" s="89" t="s">
        <v>9</v>
      </c>
      <c r="I212" s="93">
        <v>2.2400000000000002</v>
      </c>
      <c r="J212" s="94">
        <f t="shared" si="228"/>
        <v>2.2400000000000002</v>
      </c>
      <c r="K212" s="114">
        <v>79</v>
      </c>
      <c r="L212" s="90">
        <f t="shared" si="229"/>
        <v>176.96</v>
      </c>
      <c r="M212" s="90">
        <v>228</v>
      </c>
      <c r="N212" s="90">
        <f t="shared" si="226"/>
        <v>228</v>
      </c>
      <c r="O212" s="90">
        <f t="shared" si="227"/>
        <v>404.96000000000004</v>
      </c>
      <c r="P212" s="92"/>
    </row>
    <row r="213" spans="1:16" x14ac:dyDescent="0.25">
      <c r="A213" s="41">
        <f>IF(G213&lt;&gt;"",1+MAX($A$13:A212),"")</f>
        <v>108</v>
      </c>
      <c r="C213" s="89" t="s">
        <v>286</v>
      </c>
      <c r="D213" s="96" t="s">
        <v>338</v>
      </c>
      <c r="E213" s="100">
        <v>1</v>
      </c>
      <c r="F213" s="91">
        <f>VLOOKUP(H213,'PROJECT SUMMARY'!$C$24:$D$31,2,0)</f>
        <v>0</v>
      </c>
      <c r="G213" s="95">
        <f t="shared" si="223"/>
        <v>1</v>
      </c>
      <c r="H213" s="89" t="s">
        <v>9</v>
      </c>
      <c r="I213" s="93">
        <v>7.6</v>
      </c>
      <c r="J213" s="94">
        <f t="shared" si="228"/>
        <v>7.6</v>
      </c>
      <c r="K213" s="114">
        <v>79</v>
      </c>
      <c r="L213" s="90">
        <f t="shared" si="229"/>
        <v>600.4</v>
      </c>
      <c r="M213" s="90">
        <v>863.91</v>
      </c>
      <c r="N213" s="90">
        <f t="shared" si="226"/>
        <v>863.91</v>
      </c>
      <c r="O213" s="90">
        <f t="shared" si="227"/>
        <v>1464.31</v>
      </c>
      <c r="P213" s="92"/>
    </row>
    <row r="214" spans="1:16" x14ac:dyDescent="0.25">
      <c r="A214" s="41">
        <f>IF(G214&lt;&gt;"",1+MAX($A$13:A213),"")</f>
        <v>109</v>
      </c>
      <c r="C214" s="89" t="s">
        <v>286</v>
      </c>
      <c r="D214" s="96" t="s">
        <v>339</v>
      </c>
      <c r="E214" s="100">
        <v>1</v>
      </c>
      <c r="F214" s="91">
        <f>VLOOKUP(H214,'PROJECT SUMMARY'!$C$24:$D$31,2,0)</f>
        <v>0</v>
      </c>
      <c r="G214" s="95">
        <f t="shared" si="223"/>
        <v>1</v>
      </c>
      <c r="H214" s="89" t="s">
        <v>9</v>
      </c>
      <c r="I214" s="93">
        <v>4.8499999999999996</v>
      </c>
      <c r="J214" s="94">
        <f t="shared" si="228"/>
        <v>4.8499999999999996</v>
      </c>
      <c r="K214" s="114">
        <v>79</v>
      </c>
      <c r="L214" s="90">
        <f t="shared" si="229"/>
        <v>383.15</v>
      </c>
      <c r="M214" s="90">
        <v>632</v>
      </c>
      <c r="N214" s="90">
        <f t="shared" si="226"/>
        <v>632</v>
      </c>
      <c r="O214" s="90">
        <f t="shared" si="227"/>
        <v>1015.15</v>
      </c>
      <c r="P214" s="92"/>
    </row>
    <row r="215" spans="1:16" x14ac:dyDescent="0.25">
      <c r="A215" s="41" t="str">
        <f>IF(G215&lt;&gt;"",1+MAX($A$13:A214),"")</f>
        <v/>
      </c>
      <c r="D215" s="96"/>
      <c r="E215" s="100"/>
      <c r="I215" s="93"/>
      <c r="J215" s="94"/>
      <c r="K215" s="113"/>
      <c r="P215" s="92"/>
    </row>
    <row r="216" spans="1:16" x14ac:dyDescent="0.25">
      <c r="A216" s="41">
        <f>IF(G216&lt;&gt;"",1+MAX($A$13:A215),"")</f>
        <v>110</v>
      </c>
      <c r="C216" s="89" t="s">
        <v>286</v>
      </c>
      <c r="D216" s="96" t="s">
        <v>340</v>
      </c>
      <c r="E216" s="100">
        <v>645.21</v>
      </c>
      <c r="F216" s="91">
        <f>VLOOKUP(H216,'PROJECT SUMMARY'!$C$24:$D$31,2,0)</f>
        <v>0.05</v>
      </c>
      <c r="G216" s="95">
        <f t="shared" ref="G216" si="230">E216*(1+F216)</f>
        <v>677.47050000000002</v>
      </c>
      <c r="H216" s="89" t="s">
        <v>11</v>
      </c>
      <c r="I216" s="93">
        <v>3.5000000000000003E-2</v>
      </c>
      <c r="J216" s="94">
        <f t="shared" ref="J216" si="231">I216*G216</f>
        <v>23.711467500000001</v>
      </c>
      <c r="K216" s="114">
        <v>79</v>
      </c>
      <c r="L216" s="90">
        <f>K216*J216</f>
        <v>1873.2059325</v>
      </c>
      <c r="M216" s="90">
        <v>10</v>
      </c>
      <c r="N216" s="90">
        <f>M216*G216</f>
        <v>6774.7049999999999</v>
      </c>
      <c r="O216" s="90">
        <f t="shared" ref="O216" si="232">L216+N216</f>
        <v>8647.910932499999</v>
      </c>
      <c r="P216" s="92"/>
    </row>
    <row r="217" spans="1:16" ht="16.5" thickBot="1" x14ac:dyDescent="0.3">
      <c r="A217" s="41" t="str">
        <f>IF(G217&lt;&gt;"",1+MAX($A$13:A216),"")</f>
        <v/>
      </c>
      <c r="D217" s="105"/>
      <c r="E217"/>
      <c r="I217" s="93"/>
      <c r="J217" s="94"/>
      <c r="K217" s="113"/>
      <c r="P217" s="92"/>
    </row>
    <row r="218" spans="1:16" ht="16.5" thickBot="1" x14ac:dyDescent="0.3">
      <c r="A218" s="73" t="str">
        <f>IF(G218&lt;&gt;"",1+MAX($A$13:A217),"")</f>
        <v/>
      </c>
      <c r="B218" s="69"/>
      <c r="C218" s="69" t="s">
        <v>287</v>
      </c>
      <c r="D218" s="67" t="s">
        <v>232</v>
      </c>
      <c r="E218" s="71"/>
      <c r="F218" s="72"/>
      <c r="G218" s="71"/>
      <c r="H218" s="71"/>
      <c r="I218" s="67"/>
      <c r="J218" s="67"/>
      <c r="K218" s="115"/>
      <c r="L218" s="68"/>
      <c r="M218" s="68"/>
      <c r="N218" s="68"/>
      <c r="O218" s="70"/>
      <c r="P218" s="74">
        <f>SUM(O219:O221)</f>
        <v>12188.268540000001</v>
      </c>
    </row>
    <row r="219" spans="1:16" x14ac:dyDescent="0.25">
      <c r="A219" s="41" t="str">
        <f>IF(G219&lt;&gt;"",1+MAX($A$13:A218),"")</f>
        <v/>
      </c>
      <c r="D219"/>
      <c r="E219"/>
      <c r="I219" s="93"/>
      <c r="J219" s="94"/>
      <c r="K219" s="113"/>
      <c r="P219" s="92"/>
    </row>
    <row r="220" spans="1:16" x14ac:dyDescent="0.25">
      <c r="A220" s="41">
        <f>IF(G220&lt;&gt;"",1+MAX($A$13:A219),"")</f>
        <v>111</v>
      </c>
      <c r="C220" s="89" t="s">
        <v>287</v>
      </c>
      <c r="D220" s="96" t="s">
        <v>371</v>
      </c>
      <c r="E220" s="100">
        <f>649.21*2</f>
        <v>1298.42</v>
      </c>
      <c r="F220" s="91">
        <f>VLOOKUP(H220,'PROJECT SUMMARY'!$C$24:$D$31,2,0)</f>
        <v>0.05</v>
      </c>
      <c r="G220" s="95">
        <f t="shared" ref="G220" si="233">E220*(1+F220)</f>
        <v>1363.3410000000001</v>
      </c>
      <c r="H220" s="89" t="s">
        <v>11</v>
      </c>
      <c r="I220" s="93">
        <v>0.06</v>
      </c>
      <c r="J220" s="94">
        <f t="shared" ref="J220" si="234">I220*G220</f>
        <v>81.800460000000001</v>
      </c>
      <c r="K220" s="114">
        <v>79</v>
      </c>
      <c r="L220" s="90">
        <f>K220*J220</f>
        <v>6462.2363400000004</v>
      </c>
      <c r="M220" s="90">
        <v>4.2</v>
      </c>
      <c r="N220" s="90">
        <f>M220*G220</f>
        <v>5726.0322000000006</v>
      </c>
      <c r="O220" s="90">
        <f t="shared" ref="O220" si="235">L220+N220</f>
        <v>12188.268540000001</v>
      </c>
      <c r="P220" s="92"/>
    </row>
    <row r="221" spans="1:16" ht="16.5" thickBot="1" x14ac:dyDescent="0.3">
      <c r="A221" s="41" t="str">
        <f>IF(G221&lt;&gt;"",1+MAX($A$13:A220),"")</f>
        <v/>
      </c>
      <c r="D221" s="105"/>
      <c r="E221"/>
      <c r="I221" s="93"/>
      <c r="J221" s="94"/>
      <c r="K221" s="113"/>
      <c r="P221" s="92"/>
    </row>
    <row r="222" spans="1:16" ht="16.5" thickBot="1" x14ac:dyDescent="0.3">
      <c r="A222" s="73" t="str">
        <f>IF(G222&lt;&gt;"",1+MAX($A$13:A221),"")</f>
        <v/>
      </c>
      <c r="B222" s="69"/>
      <c r="C222" s="69" t="s">
        <v>288</v>
      </c>
      <c r="D222" s="67" t="s">
        <v>289</v>
      </c>
      <c r="E222" s="71"/>
      <c r="F222" s="72"/>
      <c r="G222" s="71"/>
      <c r="H222" s="71"/>
      <c r="I222" s="67"/>
      <c r="J222" s="67"/>
      <c r="K222" s="115"/>
      <c r="L222" s="68"/>
      <c r="M222" s="68"/>
      <c r="N222" s="68"/>
      <c r="O222" s="70"/>
      <c r="P222" s="74">
        <f>SUM(O223:O227)</f>
        <v>14987.102629999999</v>
      </c>
    </row>
    <row r="223" spans="1:16" x14ac:dyDescent="0.25">
      <c r="A223" s="41" t="str">
        <f>IF(G223&lt;&gt;"",1+MAX($A$13:A222),"")</f>
        <v/>
      </c>
      <c r="D223"/>
      <c r="E223"/>
      <c r="I223" s="93"/>
      <c r="J223" s="94"/>
      <c r="K223" s="113"/>
      <c r="P223" s="92"/>
    </row>
    <row r="224" spans="1:16" x14ac:dyDescent="0.25">
      <c r="A224" s="41">
        <f>IF(G224&lt;&gt;"",1+MAX($A$13:A223),"")</f>
        <v>112</v>
      </c>
      <c r="C224" s="89" t="s">
        <v>288</v>
      </c>
      <c r="D224" s="96" t="s">
        <v>330</v>
      </c>
      <c r="E224" s="100">
        <v>5</v>
      </c>
      <c r="F224" s="91">
        <f>VLOOKUP(H224,'PROJECT SUMMARY'!$C$24:$D$31,2,0)</f>
        <v>0</v>
      </c>
      <c r="G224" s="95">
        <f t="shared" ref="G224" si="236">E224*(1+F224)</f>
        <v>5</v>
      </c>
      <c r="H224" s="89" t="s">
        <v>9</v>
      </c>
      <c r="I224" s="93">
        <v>1.2</v>
      </c>
      <c r="J224" s="94">
        <f t="shared" ref="J224" si="237">I224*G224</f>
        <v>6</v>
      </c>
      <c r="K224" s="114">
        <v>79</v>
      </c>
      <c r="L224" s="90">
        <f>K224*J224</f>
        <v>474</v>
      </c>
      <c r="M224" s="90">
        <v>85.21</v>
      </c>
      <c r="N224" s="90">
        <f>M224*G224</f>
        <v>426.04999999999995</v>
      </c>
      <c r="O224" s="90">
        <f t="shared" ref="O224" si="238">L224+N224</f>
        <v>900.05</v>
      </c>
      <c r="P224" s="92"/>
    </row>
    <row r="225" spans="1:16" x14ac:dyDescent="0.25">
      <c r="A225" s="41" t="str">
        <f>IF(G225&lt;&gt;"",1+MAX($A$13:A224),"")</f>
        <v/>
      </c>
      <c r="D225" s="96"/>
      <c r="E225" s="100"/>
      <c r="I225" s="93"/>
      <c r="J225" s="94"/>
      <c r="K225" s="113"/>
      <c r="P225" s="92"/>
    </row>
    <row r="226" spans="1:16" x14ac:dyDescent="0.25">
      <c r="A226" s="41">
        <f>IF(G226&lt;&gt;"",1+MAX($A$13:A225),"")</f>
        <v>113</v>
      </c>
      <c r="C226" s="89" t="s">
        <v>288</v>
      </c>
      <c r="D226" s="96" t="s">
        <v>372</v>
      </c>
      <c r="E226" s="100">
        <v>1563.3</v>
      </c>
      <c r="F226" s="91">
        <f>VLOOKUP(H226,'PROJECT SUMMARY'!$C$24:$D$31,2,0)</f>
        <v>0.05</v>
      </c>
      <c r="G226" s="95">
        <f t="shared" ref="G226" si="239">E226*(1+F226)</f>
        <v>1641.4649999999999</v>
      </c>
      <c r="H226" s="89" t="s">
        <v>11</v>
      </c>
      <c r="I226" s="93">
        <v>5.8000000000000003E-2</v>
      </c>
      <c r="J226" s="94">
        <f t="shared" ref="J226" si="240">I226*G226</f>
        <v>95.204970000000003</v>
      </c>
      <c r="K226" s="114">
        <v>79</v>
      </c>
      <c r="L226" s="90">
        <f>K226*J226</f>
        <v>7521.1926300000005</v>
      </c>
      <c r="M226" s="90">
        <v>4</v>
      </c>
      <c r="N226" s="90">
        <f>M226*G226</f>
        <v>6565.86</v>
      </c>
      <c r="O226" s="90">
        <f t="shared" ref="O226" si="241">L226+N226</f>
        <v>14087.05263</v>
      </c>
      <c r="P226" s="92"/>
    </row>
    <row r="227" spans="1:16" ht="16.5" thickBot="1" x14ac:dyDescent="0.3">
      <c r="A227" s="41" t="str">
        <f>IF(G227&lt;&gt;"",1+MAX($A$13:A226),"")</f>
        <v/>
      </c>
      <c r="D227" s="105"/>
      <c r="E227"/>
      <c r="I227" s="93"/>
      <c r="J227" s="94"/>
      <c r="K227" s="113"/>
      <c r="P227" s="92"/>
    </row>
    <row r="228" spans="1:16" ht="16.5" thickBot="1" x14ac:dyDescent="0.3">
      <c r="A228" s="73" t="str">
        <f>IF(G228&lt;&gt;"",1+MAX($A$13:A227),"")</f>
        <v/>
      </c>
      <c r="B228" s="69"/>
      <c r="C228" s="69" t="s">
        <v>42</v>
      </c>
      <c r="D228" s="67" t="s">
        <v>43</v>
      </c>
      <c r="E228" s="71"/>
      <c r="F228" s="72"/>
      <c r="G228" s="71"/>
      <c r="H228" s="71"/>
      <c r="I228" s="67"/>
      <c r="J228" s="67"/>
      <c r="K228" s="115"/>
      <c r="L228" s="68"/>
      <c r="M228" s="68"/>
      <c r="N228" s="68"/>
      <c r="O228" s="70"/>
      <c r="P228" s="74">
        <f>SUM(O229:O236)</f>
        <v>474.3900000000001</v>
      </c>
    </row>
    <row r="229" spans="1:16" x14ac:dyDescent="0.25">
      <c r="A229" s="41" t="str">
        <f>IF(G229&lt;&gt;"",1+MAX($A$13:A228),"")</f>
        <v/>
      </c>
      <c r="D229"/>
      <c r="E229"/>
      <c r="I229" s="93"/>
      <c r="J229" s="94"/>
      <c r="K229" s="113"/>
      <c r="P229" s="92"/>
    </row>
    <row r="230" spans="1:16" x14ac:dyDescent="0.25">
      <c r="A230" s="41" t="str">
        <f>IF(G230&lt;&gt;"",1+MAX($A$13:A229),"")</f>
        <v/>
      </c>
      <c r="D230" s="103" t="s">
        <v>43</v>
      </c>
      <c r="E230"/>
      <c r="I230" s="93"/>
      <c r="J230" s="94"/>
      <c r="K230" s="113"/>
      <c r="P230" s="92"/>
    </row>
    <row r="231" spans="1:16" x14ac:dyDescent="0.25">
      <c r="A231" s="41">
        <f>IF(G231&lt;&gt;"",1+MAX($A$13:A230),"")</f>
        <v>114</v>
      </c>
      <c r="C231" s="89" t="s">
        <v>42</v>
      </c>
      <c r="D231" s="96" t="s">
        <v>236</v>
      </c>
      <c r="E231" s="100">
        <v>8</v>
      </c>
      <c r="F231" s="91">
        <f>VLOOKUP(H231,'PROJECT SUMMARY'!$C$24:$D$31,2,0)</f>
        <v>0.05</v>
      </c>
      <c r="G231" s="95">
        <f t="shared" ref="G231:G232" si="242">E231*(1+F231)</f>
        <v>8.4</v>
      </c>
      <c r="H231" s="89" t="s">
        <v>15</v>
      </c>
      <c r="I231" s="93">
        <v>0.22</v>
      </c>
      <c r="J231" s="94">
        <f t="shared" ref="J231:J232" si="243">I231*G231</f>
        <v>1.8480000000000001</v>
      </c>
      <c r="K231" s="114">
        <v>90</v>
      </c>
      <c r="L231" s="90">
        <f t="shared" ref="L231:L232" si="244">K231*J231</f>
        <v>166.32000000000002</v>
      </c>
      <c r="M231" s="90">
        <v>0</v>
      </c>
      <c r="N231" s="90">
        <f t="shared" ref="N231:N232" si="245">M231*G231</f>
        <v>0</v>
      </c>
      <c r="O231" s="90">
        <f t="shared" ref="O231:O232" si="246">L231+N231</f>
        <v>166.32000000000002</v>
      </c>
      <c r="P231" s="92"/>
    </row>
    <row r="232" spans="1:16" x14ac:dyDescent="0.25">
      <c r="A232" s="41">
        <f>IF(G232&lt;&gt;"",1+MAX($A$13:A231),"")</f>
        <v>115</v>
      </c>
      <c r="C232" s="89" t="s">
        <v>42</v>
      </c>
      <c r="D232" s="96" t="s">
        <v>237</v>
      </c>
      <c r="E232" s="100">
        <v>5</v>
      </c>
      <c r="F232" s="91">
        <f>VLOOKUP(H232,'PROJECT SUMMARY'!$C$24:$D$31,2,0)</f>
        <v>0.05</v>
      </c>
      <c r="G232" s="95">
        <f t="shared" si="242"/>
        <v>5.25</v>
      </c>
      <c r="H232" s="89" t="s">
        <v>15</v>
      </c>
      <c r="I232" s="93">
        <v>0.22</v>
      </c>
      <c r="J232" s="94">
        <f t="shared" si="243"/>
        <v>1.155</v>
      </c>
      <c r="K232" s="114">
        <v>90</v>
      </c>
      <c r="L232" s="90">
        <f t="shared" si="244"/>
        <v>103.95</v>
      </c>
      <c r="M232" s="90">
        <v>0</v>
      </c>
      <c r="N232" s="90">
        <f t="shared" si="245"/>
        <v>0</v>
      </c>
      <c r="O232" s="90">
        <f t="shared" si="246"/>
        <v>103.95</v>
      </c>
      <c r="P232" s="92"/>
    </row>
    <row r="233" spans="1:16" x14ac:dyDescent="0.25">
      <c r="A233" s="41" t="str">
        <f>IF(G233&lt;&gt;"",1+MAX($A$13:A232),"")</f>
        <v/>
      </c>
      <c r="D233" s="96"/>
      <c r="E233" s="100"/>
      <c r="I233" s="93"/>
      <c r="J233" s="94"/>
      <c r="K233" s="113"/>
      <c r="P233" s="92"/>
    </row>
    <row r="234" spans="1:16" x14ac:dyDescent="0.25">
      <c r="A234" s="41">
        <f>IF(G234&lt;&gt;"",1+MAX($A$13:A233),"")</f>
        <v>116</v>
      </c>
      <c r="C234" s="89" t="s">
        <v>42</v>
      </c>
      <c r="D234" s="96" t="s">
        <v>375</v>
      </c>
      <c r="E234" s="100">
        <v>3</v>
      </c>
      <c r="F234" s="91">
        <f>VLOOKUP(H234,'PROJECT SUMMARY'!$C$24:$D$31,2,0)</f>
        <v>0.05</v>
      </c>
      <c r="G234" s="95">
        <f t="shared" ref="G234" si="247">E234*(1+F234)</f>
        <v>3.1500000000000004</v>
      </c>
      <c r="H234" s="89" t="s">
        <v>15</v>
      </c>
      <c r="I234" s="93">
        <v>0.15</v>
      </c>
      <c r="J234" s="94">
        <f t="shared" ref="J234" si="248">I234*G234</f>
        <v>0.47250000000000003</v>
      </c>
      <c r="K234" s="114">
        <v>90</v>
      </c>
      <c r="L234" s="90">
        <f>K234*J234</f>
        <v>42.525000000000006</v>
      </c>
      <c r="N234" s="90">
        <f>M234*G234</f>
        <v>0</v>
      </c>
      <c r="O234" s="90">
        <f t="shared" ref="O234" si="249">L234+N234</f>
        <v>42.525000000000006</v>
      </c>
      <c r="P234" s="92"/>
    </row>
    <row r="235" spans="1:16" x14ac:dyDescent="0.25">
      <c r="A235" s="41" t="str">
        <f>IF(G235&lt;&gt;"",1+MAX($A$13:A234),"")</f>
        <v/>
      </c>
      <c r="D235" s="96"/>
      <c r="E235" s="100"/>
      <c r="I235" s="93"/>
      <c r="J235" s="94"/>
      <c r="K235" s="113"/>
      <c r="P235" s="92"/>
    </row>
    <row r="236" spans="1:16" x14ac:dyDescent="0.25">
      <c r="A236" s="41">
        <f>IF(G236&lt;&gt;"",1+MAX($A$13:A235),"")</f>
        <v>117</v>
      </c>
      <c r="C236" s="89" t="s">
        <v>42</v>
      </c>
      <c r="D236" s="96" t="s">
        <v>239</v>
      </c>
      <c r="E236" s="100">
        <v>570</v>
      </c>
      <c r="F236" s="91">
        <f>VLOOKUP(H236,'PROJECT SUMMARY'!$C$24:$D$31,2,0)</f>
        <v>0.05</v>
      </c>
      <c r="G236" s="95">
        <f t="shared" ref="G236" si="250">E236*(1+F236)</f>
        <v>598.5</v>
      </c>
      <c r="H236" s="89" t="s">
        <v>11</v>
      </c>
      <c r="I236" s="93">
        <v>3.0000000000000001E-3</v>
      </c>
      <c r="J236" s="94">
        <f t="shared" ref="J236" si="251">I236*G236</f>
        <v>1.7955000000000001</v>
      </c>
      <c r="K236" s="114">
        <v>90</v>
      </c>
      <c r="L236" s="90">
        <f>K236*J236</f>
        <v>161.595</v>
      </c>
      <c r="M236" s="90">
        <v>0</v>
      </c>
      <c r="N236" s="90">
        <f>M236*G236</f>
        <v>0</v>
      </c>
      <c r="O236" s="90">
        <f t="shared" ref="O236" si="252">L236+N236</f>
        <v>161.595</v>
      </c>
      <c r="P236" s="92"/>
    </row>
    <row r="237" spans="1:16" ht="16.5" thickBot="1" x14ac:dyDescent="0.3">
      <c r="A237" s="42"/>
      <c r="B237" s="43"/>
      <c r="C237" s="43"/>
      <c r="D237" s="43"/>
      <c r="E237" s="43"/>
      <c r="F237" s="45"/>
      <c r="P237" s="92"/>
    </row>
    <row r="238" spans="1:16" ht="16.5" thickBot="1" x14ac:dyDescent="0.3">
      <c r="G238" s="47"/>
      <c r="H238" s="48"/>
      <c r="I238" s="49" t="s">
        <v>38</v>
      </c>
      <c r="J238" s="83">
        <f>SUM(J14:J237)</f>
        <v>1561.2931656945732</v>
      </c>
      <c r="K238" s="50"/>
      <c r="L238" s="77">
        <f>SUM(L14:L237)</f>
        <v>85865.822594020632</v>
      </c>
      <c r="M238" s="78"/>
      <c r="N238" s="77">
        <f>SUM(N14:N237)</f>
        <v>130846.14499399743</v>
      </c>
      <c r="O238" s="77">
        <f>SUM(O14:O237)</f>
        <v>216711.96758801804</v>
      </c>
      <c r="P238" s="77">
        <f>SUM(P14:P237)</f>
        <v>216711.96758801807</v>
      </c>
    </row>
    <row r="239" spans="1:16" ht="16.5" thickBot="1" x14ac:dyDescent="0.3">
      <c r="G239" s="19">
        <v>9.5000000000000001E-2</v>
      </c>
      <c r="H239" s="1" t="s">
        <v>19</v>
      </c>
      <c r="I239" s="1"/>
      <c r="J239" s="1"/>
      <c r="L239" s="79"/>
      <c r="M239" s="79"/>
      <c r="N239" s="77">
        <f>N238*G239</f>
        <v>12430.383774429756</v>
      </c>
      <c r="O239" s="77">
        <f>N239</f>
        <v>12430.383774429756</v>
      </c>
      <c r="P239" s="80">
        <f>O239</f>
        <v>12430.383774429756</v>
      </c>
    </row>
    <row r="240" spans="1:16" ht="16.5" thickBot="1" x14ac:dyDescent="0.3">
      <c r="G240" s="51">
        <v>0.15</v>
      </c>
      <c r="H240" s="52" t="s">
        <v>20</v>
      </c>
      <c r="I240" s="52"/>
      <c r="J240" s="52"/>
      <c r="K240" s="50"/>
      <c r="L240" s="77">
        <f>L238*G240</f>
        <v>12879.873389103095</v>
      </c>
      <c r="M240" s="78"/>
      <c r="N240" s="77">
        <f>N238*G240</f>
        <v>19626.921749099612</v>
      </c>
      <c r="O240" s="77">
        <f>L240+N240</f>
        <v>32506.795138202709</v>
      </c>
      <c r="P240" s="77">
        <f>O240</f>
        <v>32506.795138202709</v>
      </c>
    </row>
    <row r="241" spans="7:16" ht="16.5" thickBot="1" x14ac:dyDescent="0.3">
      <c r="G241" s="42"/>
      <c r="H241" s="44" t="s">
        <v>34</v>
      </c>
      <c r="I241" s="44"/>
      <c r="J241" s="44"/>
      <c r="K241" s="46"/>
      <c r="L241" s="77">
        <f>SUM(L238:L240)</f>
        <v>98745.695983123733</v>
      </c>
      <c r="M241" s="81"/>
      <c r="N241" s="77">
        <f>SUM(N238:N240)</f>
        <v>162903.4505175268</v>
      </c>
      <c r="O241" s="77">
        <f>SUM(O238:O240)</f>
        <v>261649.1465006505</v>
      </c>
      <c r="P241" s="82">
        <f>SUM(P238:P240)</f>
        <v>261649.14650065056</v>
      </c>
    </row>
    <row r="246" spans="7:16" x14ac:dyDescent="0.25">
      <c r="M246" s="102"/>
    </row>
  </sheetData>
  <sortState xmlns:xlrd2="http://schemas.microsoft.com/office/spreadsheetml/2017/richdata2" ref="D200:E205">
    <sortCondition ref="D200:D205"/>
  </sortState>
  <mergeCells count="5">
    <mergeCell ref="A2:P2"/>
    <mergeCell ref="A5:D5"/>
    <mergeCell ref="B7:C7"/>
    <mergeCell ref="B8:C8"/>
    <mergeCell ref="B9:C9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C2F47047-2E95-4C27-BB74-DF363995DDA7}">
          <x14:formula1>
            <xm:f>'PROJECT SUMMARY'!$C$24:$C$31</xm:f>
          </x14:formula1>
          <xm:sqref>H14:H237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  e n c o d i n g = " u t f - 1 6 " ? > < S w i f t T o k e n s   x m l n s : x s d = " h t t p : / / w w w . w 3 . o r g / 2 0 0 1 / X M L S c h e m a "   x m l n s : x s i = " h t t p : / / w w w . w 3 . o r g / 2 0 0 1 / X M L S c h e m a - i n s t a n c e " > < T o k e n s / > < / S w i f t T o k e n s > 
</file>

<file path=customXml/item2.xml>��< ? x m l   v e r s i o n = " 1 . 0 "   e n c o d i n g = " u t f - 1 6 " ? > < S w i f t T o k e n s   x m l n s : x s d = " h t t p : / / w w w . w 3 . o r g / 2 0 0 1 / X M L S c h e m a "   x m l n s : x s i = " h t t p : / / w w w . w 3 . o r g / 2 0 0 1 / X M L S c h e m a - i n s t a n c e " > < T o k e n s / > < / S w i f t T o k e n s > 
</file>

<file path=customXml/item3.xml>��< ? x m l   v e r s i o n = " 1 . 0 "   e n c o d i n g = " u t f - 1 6 " ? > < S w i f t T o k e n s   x m l n s : x s d = " h t t p : / / w w w . w 3 . o r g / 2 0 0 1 / X M L S c h e m a "   x m l n s : x s i = " h t t p : / / w w w . w 3 . o r g / 2 0 0 1 / X M L S c h e m a - i n s t a n c e " > < T o k e n s / > < / S w i f t T o k e n s > 
</file>

<file path=customXml/itemProps1.xml><?xml version="1.0" encoding="utf-8"?>
<ds:datastoreItem xmlns:ds="http://schemas.openxmlformats.org/officeDocument/2006/customXml" ds:itemID="{4024B911-41F4-48D6-BC46-C99BF6223EDE}">
  <ds:schemaRefs>
    <ds:schemaRef ds:uri="http://www.w3.org/2001/XMLSchema"/>
  </ds:schemaRefs>
</ds:datastoreItem>
</file>

<file path=customXml/itemProps2.xml><?xml version="1.0" encoding="utf-8"?>
<ds:datastoreItem xmlns:ds="http://schemas.openxmlformats.org/officeDocument/2006/customXml" ds:itemID="{83917E0D-0FB1-4158-BC71-F6C46621E6B7}">
  <ds:schemaRefs>
    <ds:schemaRef ds:uri="http://www.w3.org/2001/XMLSchema"/>
  </ds:schemaRefs>
</ds:datastoreItem>
</file>

<file path=customXml/itemProps3.xml><?xml version="1.0" encoding="utf-8"?>
<ds:datastoreItem xmlns:ds="http://schemas.openxmlformats.org/officeDocument/2006/customXml" ds:itemID="{D64D1C85-5D0A-4951-96C2-765D78CD5907}">
  <ds:schemaRefs>
    <ds:schemaRef ds:uri="http://www.w3.org/2001/XMLSchem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PROJECT SUMMARY</vt:lpstr>
      <vt:lpstr>BASE BID</vt:lpstr>
      <vt:lpstr>CARRIAGE HOUSE</vt:lpstr>
      <vt:lpstr>'BASE BID'!Print_Area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Azad</dc:creator>
  <cp:keywords/>
  <dc:description/>
  <cp:lastModifiedBy>Waqar Liaquat</cp:lastModifiedBy>
  <cp:revision/>
  <dcterms:created xsi:type="dcterms:W3CDTF">2021-10-19T09:11:38Z</dcterms:created>
  <dcterms:modified xsi:type="dcterms:W3CDTF">2023-10-22T05:51:32Z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lanSwiftJobName">
    <vt:lpwstr/>
  </property>
  <property fmtid="{D5CDD505-2E9C-101B-9397-08002B2CF9AE}" pid="3" name="PlanSwiftJobGuid">
    <vt:lpwstr/>
  </property>
  <property fmtid="{D5CDD505-2E9C-101B-9397-08002B2CF9AE}" pid="4" name="LinkedDataId">
    <vt:lpwstr>{D64D1C85-5D0A-4951-96C2-765D78CD5907}</vt:lpwstr>
  </property>
</Properties>
</file>